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Betho\Documents\"/>
    </mc:Choice>
  </mc:AlternateContent>
  <bookViews>
    <workbookView xWindow="0" yWindow="0" windowWidth="20490" windowHeight="7755" firstSheet="12" activeTab="16"/>
  </bookViews>
  <sheets>
    <sheet name="Pressupostos" sheetId="9" state="hidden" r:id="rId1"/>
    <sheet name="Impacto" sheetId="1" state="hidden" r:id="rId2"/>
    <sheet name="Projecção" sheetId="2" state="hidden" r:id="rId3"/>
    <sheet name="Custos de Produção" sheetId="4" state="hidden" r:id="rId4"/>
    <sheet name="VAB para Cálculo do PIB" sheetId="6" state="hidden" r:id="rId5"/>
    <sheet name="Agricultura" sheetId="8" r:id="rId6"/>
    <sheet name="Pesca" sheetId="14" r:id="rId7"/>
    <sheet name="Indústria Extractiva Mineira" sheetId="15" r:id="rId8"/>
    <sheet name="Indústria Transformadora" sheetId="16" r:id="rId9"/>
    <sheet name="Electricidade Gás e Água" sheetId="19" r:id="rId10"/>
    <sheet name="Construção" sheetId="20" r:id="rId11"/>
    <sheet name="Comércio Serviços de Reparação " sheetId="21" r:id="rId12"/>
    <sheet name="Turismo" sheetId="22" r:id="rId13"/>
    <sheet name="Transportes e Comunicação" sheetId="18" r:id="rId14"/>
    <sheet name="Educação" sheetId="23" r:id="rId15"/>
    <sheet name="Saúde e Acção Social" sheetId="24" r:id="rId16"/>
    <sheet name="Segurança" sheetId="25" r:id="rId17"/>
  </sheets>
  <externalReferences>
    <externalReference r:id="rId18"/>
    <externalReference r:id="rId19"/>
    <externalReference r:id="rId20"/>
  </externalReferenc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P91" i="2" l="1"/>
  <c r="X94" i="2"/>
  <c r="I94" i="2"/>
  <c r="H94" i="2"/>
  <c r="D177" i="2" l="1"/>
  <c r="E177" i="2"/>
  <c r="D178" i="2"/>
  <c r="F177" i="2" l="1"/>
  <c r="F180" i="2"/>
  <c r="E181" i="2"/>
  <c r="F181" i="2"/>
  <c r="E180" i="2"/>
  <c r="E178" i="2"/>
  <c r="G178" i="2"/>
  <c r="D181" i="2"/>
  <c r="G177" i="2"/>
  <c r="D180" i="2"/>
  <c r="G181" i="2"/>
  <c r="G180" i="2"/>
  <c r="F178" i="2"/>
  <c r="H181" i="2" l="1"/>
  <c r="W94" i="2"/>
  <c r="P94" i="2"/>
  <c r="G144" i="2"/>
  <c r="H143" i="2"/>
  <c r="I143" i="2"/>
  <c r="F144" i="2"/>
  <c r="E144" i="2"/>
  <c r="D144" i="2"/>
  <c r="C144" i="2"/>
  <c r="D47" i="6"/>
  <c r="E47" i="6"/>
  <c r="F47" i="6"/>
  <c r="G47" i="6"/>
  <c r="H47" i="6"/>
  <c r="D49" i="6"/>
  <c r="E49" i="6"/>
  <c r="F49" i="6"/>
  <c r="G49" i="6"/>
  <c r="H49" i="6"/>
  <c r="D50" i="6"/>
  <c r="E50" i="6"/>
  <c r="F50" i="6"/>
  <c r="G50" i="6"/>
  <c r="H50" i="6"/>
  <c r="E46" i="6"/>
  <c r="F46" i="6"/>
  <c r="G46" i="6"/>
  <c r="H46" i="6"/>
  <c r="D46" i="6"/>
  <c r="C50" i="6"/>
  <c r="C49" i="6"/>
  <c r="J49" i="6" s="1"/>
  <c r="C48" i="6"/>
  <c r="C47" i="6"/>
  <c r="C46" i="6"/>
  <c r="H55" i="4"/>
  <c r="H54" i="4"/>
  <c r="H53" i="4"/>
  <c r="H52" i="4"/>
  <c r="H51" i="4"/>
  <c r="H50" i="4"/>
  <c r="H49" i="4"/>
  <c r="H48" i="4"/>
  <c r="H47" i="4"/>
  <c r="H46" i="4"/>
  <c r="I93" i="2"/>
  <c r="K46" i="6" l="1"/>
  <c r="R47" i="6"/>
  <c r="T47" i="6"/>
  <c r="S47" i="6"/>
  <c r="Q47" i="6"/>
  <c r="P47" i="6"/>
  <c r="I49" i="6"/>
  <c r="I47" i="6"/>
  <c r="C180" i="2"/>
  <c r="C178" i="2"/>
  <c r="T46" i="6"/>
  <c r="C181" i="2"/>
  <c r="I46" i="6"/>
  <c r="P46" i="6"/>
  <c r="I50" i="6"/>
  <c r="S46" i="6"/>
  <c r="J46" i="6"/>
  <c r="R46" i="6"/>
  <c r="Q46" i="6"/>
  <c r="Q50" i="6"/>
  <c r="T50" i="6"/>
  <c r="R50" i="6"/>
  <c r="S50" i="6"/>
  <c r="P50" i="6"/>
  <c r="Q49" i="6"/>
  <c r="R49" i="6"/>
  <c r="P49" i="6"/>
  <c r="S49" i="6"/>
  <c r="T49" i="6"/>
  <c r="K49" i="6"/>
  <c r="L49" i="6"/>
  <c r="J50" i="6"/>
  <c r="K47" i="6"/>
  <c r="N49" i="6"/>
  <c r="M49" i="6"/>
  <c r="L47" i="6"/>
  <c r="N47" i="6"/>
  <c r="M47" i="6"/>
  <c r="L46" i="6"/>
  <c r="N46" i="6"/>
  <c r="M46" i="6"/>
  <c r="L50" i="6"/>
  <c r="N50" i="6"/>
  <c r="K50" i="6"/>
  <c r="M50" i="6"/>
  <c r="J47" i="6"/>
  <c r="F3" i="2"/>
  <c r="D36" i="4"/>
  <c r="I131" i="2"/>
  <c r="I132" i="2"/>
  <c r="I133" i="2"/>
  <c r="L27" i="2"/>
  <c r="K36" i="2"/>
  <c r="L36" i="2" s="1"/>
  <c r="M36" i="2" s="1"/>
  <c r="K35" i="2"/>
  <c r="L35" i="2" s="1"/>
  <c r="M35" i="2" s="1"/>
  <c r="N35" i="2" s="1"/>
  <c r="O35" i="2" s="1"/>
  <c r="H36" i="2"/>
  <c r="H82" i="2"/>
  <c r="H83" i="2"/>
  <c r="H84" i="2"/>
  <c r="H35" i="2"/>
  <c r="K34" i="2"/>
  <c r="L34" i="2" s="1"/>
  <c r="M34" i="2" s="1"/>
  <c r="N34" i="2" s="1"/>
  <c r="O34" i="2" s="1"/>
  <c r="H34" i="2"/>
  <c r="I26" i="2"/>
  <c r="H26" i="2"/>
  <c r="L55" i="2"/>
  <c r="M55" i="2" s="1"/>
  <c r="N55" i="2" s="1"/>
  <c r="O55" i="2" s="1"/>
  <c r="L73" i="2"/>
  <c r="M73" i="2" s="1"/>
  <c r="N73" i="2" s="1"/>
  <c r="O73" i="2" s="1"/>
  <c r="Z47" i="6" l="1"/>
  <c r="X47" i="6"/>
  <c r="V47" i="6"/>
  <c r="Y47" i="6"/>
  <c r="U47" i="6"/>
  <c r="X49" i="6"/>
  <c r="U46" i="6"/>
  <c r="X50" i="6"/>
  <c r="W47" i="6"/>
  <c r="AA47" i="6" s="1"/>
  <c r="O47" i="6"/>
  <c r="Z46" i="6"/>
  <c r="X46" i="6"/>
  <c r="Y50" i="6"/>
  <c r="W46" i="6"/>
  <c r="Z49" i="6"/>
  <c r="Z50" i="6"/>
  <c r="Y49" i="6"/>
  <c r="O46" i="6"/>
  <c r="V46" i="6"/>
  <c r="V50" i="6"/>
  <c r="Y46" i="6"/>
  <c r="W50" i="6"/>
  <c r="U50" i="6"/>
  <c r="V49" i="6"/>
  <c r="W49" i="6"/>
  <c r="U49" i="6"/>
  <c r="O50" i="6"/>
  <c r="O49" i="6"/>
  <c r="N36" i="2"/>
  <c r="O36" i="2" s="1"/>
  <c r="P34" i="2"/>
  <c r="P35" i="2"/>
  <c r="C177" i="2" l="1"/>
  <c r="AA50" i="6"/>
  <c r="AA46" i="6"/>
  <c r="AA49" i="6"/>
  <c r="P36" i="2"/>
  <c r="H19" i="2" l="1"/>
  <c r="I19" i="2"/>
  <c r="K19" i="2" s="1"/>
  <c r="K67" i="2" l="1"/>
  <c r="L19" i="2"/>
  <c r="L67" i="2" s="1"/>
  <c r="K25" i="2"/>
  <c r="R10" i="2"/>
  <c r="R14" i="2"/>
  <c r="R17" i="2"/>
  <c r="R19" i="2"/>
  <c r="R20" i="2"/>
  <c r="R24" i="2"/>
  <c r="R27" i="2"/>
  <c r="R28" i="2"/>
  <c r="R34" i="2"/>
  <c r="R35" i="2"/>
  <c r="R36" i="2"/>
  <c r="K23" i="2"/>
  <c r="M27" i="2"/>
  <c r="N27" i="2" s="1"/>
  <c r="O27" i="2" s="1"/>
  <c r="K18" i="2"/>
  <c r="K16" i="2"/>
  <c r="R16" i="2" s="1"/>
  <c r="K9" i="2"/>
  <c r="I9" i="2"/>
  <c r="I16" i="2"/>
  <c r="R25" i="2" l="1"/>
  <c r="L25" i="2"/>
  <c r="M25" i="2" s="1"/>
  <c r="N25" i="2" s="1"/>
  <c r="O25" i="2" s="1"/>
  <c r="R18" i="2"/>
  <c r="L18" i="2"/>
  <c r="M18" i="2" s="1"/>
  <c r="N18" i="2" s="1"/>
  <c r="O18" i="2" s="1"/>
  <c r="M19" i="2"/>
  <c r="K64" i="2"/>
  <c r="L16" i="2"/>
  <c r="M16" i="2" s="1"/>
  <c r="N16" i="2" s="1"/>
  <c r="O16" i="2" s="1"/>
  <c r="L23" i="2"/>
  <c r="M23" i="2" s="1"/>
  <c r="N23" i="2" s="1"/>
  <c r="O23" i="2" s="1"/>
  <c r="R9" i="2"/>
  <c r="L9" i="2"/>
  <c r="K57" i="2"/>
  <c r="R23" i="2"/>
  <c r="K66" i="2"/>
  <c r="R55" i="2"/>
  <c r="L58" i="2"/>
  <c r="M58" i="2" s="1"/>
  <c r="N58" i="2" s="1"/>
  <c r="O58" i="2" s="1"/>
  <c r="V58" i="2" s="1"/>
  <c r="L60" i="2"/>
  <c r="L62" i="2"/>
  <c r="M62" i="2" s="1"/>
  <c r="N62" i="2" s="1"/>
  <c r="O62" i="2" s="1"/>
  <c r="V62" i="2" s="1"/>
  <c r="L65" i="2"/>
  <c r="M65" i="2" s="1"/>
  <c r="N65" i="2" s="1"/>
  <c r="O65" i="2" s="1"/>
  <c r="V65" i="2" s="1"/>
  <c r="L68" i="2"/>
  <c r="M68" i="2" s="1"/>
  <c r="N68" i="2" s="1"/>
  <c r="O68" i="2" s="1"/>
  <c r="V68" i="2" s="1"/>
  <c r="L72" i="2"/>
  <c r="M72" i="2" s="1"/>
  <c r="N72" i="2" s="1"/>
  <c r="O72" i="2" s="1"/>
  <c r="V72" i="2" s="1"/>
  <c r="V73" i="2"/>
  <c r="L74" i="2"/>
  <c r="M74" i="2" s="1"/>
  <c r="N74" i="2" s="1"/>
  <c r="O74" i="2" s="1"/>
  <c r="V74" i="2" s="1"/>
  <c r="L76" i="2"/>
  <c r="M76" i="2" s="1"/>
  <c r="N76" i="2" s="1"/>
  <c r="O76" i="2" s="1"/>
  <c r="V76" i="2" s="1"/>
  <c r="L82" i="2"/>
  <c r="S82" i="2" s="1"/>
  <c r="L83" i="2"/>
  <c r="L84" i="2"/>
  <c r="L85" i="2"/>
  <c r="M85" i="2" s="1"/>
  <c r="N85" i="2" s="1"/>
  <c r="O85" i="2" s="1"/>
  <c r="V85" i="2" s="1"/>
  <c r="L86" i="2"/>
  <c r="M86" i="2" s="1"/>
  <c r="N86" i="2" s="1"/>
  <c r="O86" i="2" s="1"/>
  <c r="V86" i="2" s="1"/>
  <c r="N19" i="2" l="1"/>
  <c r="M67" i="2"/>
  <c r="M60" i="2"/>
  <c r="S65" i="2"/>
  <c r="S58" i="2"/>
  <c r="S62" i="2"/>
  <c r="S86" i="2"/>
  <c r="S85" i="2"/>
  <c r="M84" i="2"/>
  <c r="N84" i="2" s="1"/>
  <c r="O84" i="2" s="1"/>
  <c r="V84" i="2" s="1"/>
  <c r="M83" i="2"/>
  <c r="N83" i="2" s="1"/>
  <c r="O83" i="2" s="1"/>
  <c r="V83" i="2" s="1"/>
  <c r="S83" i="2"/>
  <c r="M82" i="2"/>
  <c r="N82" i="2" s="1"/>
  <c r="O82" i="2" s="1"/>
  <c r="V82" i="2" s="1"/>
  <c r="S74" i="2"/>
  <c r="S73" i="2"/>
  <c r="U58" i="2"/>
  <c r="U65" i="2"/>
  <c r="U62" i="2"/>
  <c r="U86" i="2"/>
  <c r="U85" i="2"/>
  <c r="U76" i="2"/>
  <c r="U74" i="2"/>
  <c r="U73" i="2"/>
  <c r="U72" i="2"/>
  <c r="U68" i="2"/>
  <c r="S84" i="2"/>
  <c r="S76" i="2"/>
  <c r="S72" i="2"/>
  <c r="S68" i="2"/>
  <c r="T58" i="2"/>
  <c r="T65" i="2"/>
  <c r="T62" i="2"/>
  <c r="T86" i="2"/>
  <c r="T85" i="2"/>
  <c r="T76" i="2"/>
  <c r="T74" i="2"/>
  <c r="T73" i="2"/>
  <c r="T72" i="2"/>
  <c r="T68" i="2"/>
  <c r="A22" i="8"/>
  <c r="A23" i="8" s="1"/>
  <c r="A25" i="8" s="1"/>
  <c r="A26" i="8" s="1"/>
  <c r="A27" i="8" s="1"/>
  <c r="A28" i="8" s="1"/>
  <c r="A29" i="8" s="1"/>
  <c r="A30" i="8" s="1"/>
  <c r="A31" i="8" s="1"/>
  <c r="A32" i="8" s="1"/>
  <c r="A33" i="8" s="1"/>
  <c r="A34" i="8" s="1"/>
  <c r="A35" i="8" s="1"/>
  <c r="A36" i="8" s="1"/>
  <c r="A37" i="8" s="1"/>
  <c r="A38" i="8" s="1"/>
  <c r="R86" i="2"/>
  <c r="R54" i="2"/>
  <c r="R57" i="2"/>
  <c r="R58" i="2"/>
  <c r="R60" i="2"/>
  <c r="R61" i="2"/>
  <c r="R62" i="2"/>
  <c r="R64" i="2"/>
  <c r="R65" i="2"/>
  <c r="R66" i="2"/>
  <c r="R67" i="2"/>
  <c r="R68" i="2"/>
  <c r="R69" i="2"/>
  <c r="R70" i="2"/>
  <c r="R71" i="2"/>
  <c r="R72" i="2"/>
  <c r="R73" i="2"/>
  <c r="R74" i="2"/>
  <c r="R75" i="2"/>
  <c r="R76" i="2"/>
  <c r="R77" i="2"/>
  <c r="R78" i="2"/>
  <c r="R79" i="2"/>
  <c r="R80" i="2"/>
  <c r="R81" i="2"/>
  <c r="R82" i="2"/>
  <c r="R83" i="2"/>
  <c r="R84" i="2"/>
  <c r="R85" i="2"/>
  <c r="R53" i="2"/>
  <c r="U84" i="2" l="1"/>
  <c r="T84" i="2"/>
  <c r="P82" i="2"/>
  <c r="T82" i="2"/>
  <c r="U82" i="2"/>
  <c r="P84" i="2"/>
  <c r="O19" i="2"/>
  <c r="O67" i="2" s="1"/>
  <c r="N67" i="2"/>
  <c r="N60" i="2"/>
  <c r="T83" i="2"/>
  <c r="U83" i="2"/>
  <c r="P83" i="2"/>
  <c r="P19" i="2" l="1"/>
  <c r="O60" i="2"/>
  <c r="H36" i="6" l="1"/>
  <c r="G36" i="6"/>
  <c r="F36" i="6"/>
  <c r="E36" i="6"/>
  <c r="D36" i="6"/>
  <c r="H35" i="6"/>
  <c r="G35" i="6"/>
  <c r="F35" i="6"/>
  <c r="E35" i="6"/>
  <c r="D35" i="6"/>
  <c r="H34" i="6"/>
  <c r="G34" i="6"/>
  <c r="F34" i="6"/>
  <c r="E34" i="6"/>
  <c r="D34" i="6"/>
  <c r="H28" i="6"/>
  <c r="G28" i="6"/>
  <c r="F28" i="6"/>
  <c r="E28" i="6"/>
  <c r="D28" i="6"/>
  <c r="C28" i="6"/>
  <c r="C29" i="6"/>
  <c r="C30" i="6"/>
  <c r="C31" i="6"/>
  <c r="C32" i="6"/>
  <c r="C34" i="6"/>
  <c r="C35" i="6"/>
  <c r="C36" i="6"/>
  <c r="C37" i="6"/>
  <c r="C38" i="6"/>
  <c r="C25" i="6"/>
  <c r="C22" i="6"/>
  <c r="C23" i="6"/>
  <c r="C21" i="6"/>
  <c r="C19" i="6"/>
  <c r="C18" i="6"/>
  <c r="C16" i="6"/>
  <c r="C15" i="6"/>
  <c r="C12" i="6"/>
  <c r="C13" i="6"/>
  <c r="C11" i="6"/>
  <c r="C9" i="6"/>
  <c r="C5" i="6"/>
  <c r="A22" i="6"/>
  <c r="A23" i="6" s="1"/>
  <c r="A25" i="6" s="1"/>
  <c r="A26" i="6" s="1"/>
  <c r="A27" i="6" s="1"/>
  <c r="A28" i="6" s="1"/>
  <c r="A29" i="6" s="1"/>
  <c r="A30" i="6" s="1"/>
  <c r="A31" i="6" s="1"/>
  <c r="A32" i="6" s="1"/>
  <c r="A33" i="6" s="1"/>
  <c r="A34" i="6" s="1"/>
  <c r="A35" i="6" s="1"/>
  <c r="A36" i="6" s="1"/>
  <c r="A37" i="6" s="1"/>
  <c r="A38" i="6" s="1"/>
  <c r="D32" i="4"/>
  <c r="I32" i="4" s="1"/>
  <c r="I7" i="4"/>
  <c r="I8" i="4"/>
  <c r="I9" i="4"/>
  <c r="I10" i="4"/>
  <c r="I11" i="4"/>
  <c r="I12" i="4"/>
  <c r="I13" i="4"/>
  <c r="I14" i="4"/>
  <c r="I15" i="4"/>
  <c r="I16" i="4"/>
  <c r="I17" i="4"/>
  <c r="I18" i="4"/>
  <c r="I19" i="4"/>
  <c r="I20" i="4"/>
  <c r="I21" i="4"/>
  <c r="I22" i="4"/>
  <c r="I23" i="4"/>
  <c r="I24" i="4"/>
  <c r="I25" i="4"/>
  <c r="I26" i="4"/>
  <c r="I27" i="4"/>
  <c r="I28" i="4"/>
  <c r="I29" i="4"/>
  <c r="I30" i="4"/>
  <c r="I31" i="4"/>
  <c r="I33" i="4"/>
  <c r="I34" i="4"/>
  <c r="I35" i="4"/>
  <c r="I36" i="4"/>
  <c r="I37" i="4"/>
  <c r="I38" i="4"/>
  <c r="I39" i="4"/>
  <c r="I40" i="4"/>
  <c r="I6" i="4"/>
  <c r="A6" i="2"/>
  <c r="A7" i="2" s="1"/>
  <c r="A8" i="2" s="1"/>
  <c r="A9" i="2" s="1"/>
  <c r="A11" i="2" s="1"/>
  <c r="H33" i="2"/>
  <c r="I33" i="2"/>
  <c r="K33" i="2" s="1"/>
  <c r="L33" i="2" s="1"/>
  <c r="M33" i="2" s="1"/>
  <c r="N33" i="2" s="1"/>
  <c r="O33" i="2" s="1"/>
  <c r="I134" i="2"/>
  <c r="I122" i="2"/>
  <c r="I126" i="2"/>
  <c r="I127" i="2"/>
  <c r="I128" i="2"/>
  <c r="I129" i="2"/>
  <c r="I130" i="2"/>
  <c r="H109" i="2"/>
  <c r="P31" i="6" l="1"/>
  <c r="P18" i="6"/>
  <c r="P29" i="6"/>
  <c r="P16" i="6"/>
  <c r="S28" i="6"/>
  <c r="P28" i="6"/>
  <c r="T28" i="6"/>
  <c r="R28" i="6"/>
  <c r="Q28" i="6"/>
  <c r="P30" i="6"/>
  <c r="P32" i="6"/>
  <c r="N28" i="6"/>
  <c r="Z28" i="6" s="1"/>
  <c r="N35" i="6"/>
  <c r="N34" i="6"/>
  <c r="J28" i="6"/>
  <c r="V28" i="6" s="1"/>
  <c r="J36" i="6"/>
  <c r="N36" i="6"/>
  <c r="P27" i="6"/>
  <c r="S37" i="6"/>
  <c r="T37" i="6"/>
  <c r="Q37" i="6"/>
  <c r="R37" i="6"/>
  <c r="P37" i="6"/>
  <c r="S36" i="6"/>
  <c r="P36" i="6"/>
  <c r="V36" i="6" s="1"/>
  <c r="T36" i="6"/>
  <c r="Q36" i="6"/>
  <c r="R36" i="6"/>
  <c r="Q35" i="6"/>
  <c r="R35" i="6"/>
  <c r="P35" i="6"/>
  <c r="S35" i="6"/>
  <c r="T35" i="6"/>
  <c r="S38" i="6"/>
  <c r="T38" i="6"/>
  <c r="P38" i="6"/>
  <c r="Q38" i="6"/>
  <c r="R38" i="6"/>
  <c r="Q34" i="6"/>
  <c r="R34" i="6"/>
  <c r="S34" i="6"/>
  <c r="T34" i="6"/>
  <c r="P34" i="6"/>
  <c r="P33" i="6"/>
  <c r="J35" i="6"/>
  <c r="S26" i="6"/>
  <c r="P26" i="6"/>
  <c r="T26" i="6"/>
  <c r="Q26" i="6"/>
  <c r="R26" i="6"/>
  <c r="P21" i="6"/>
  <c r="R25" i="6"/>
  <c r="P25" i="6"/>
  <c r="S25" i="6"/>
  <c r="T25" i="6"/>
  <c r="Q25" i="6"/>
  <c r="P23" i="6"/>
  <c r="P22" i="6"/>
  <c r="S19" i="6"/>
  <c r="T19" i="6"/>
  <c r="Q19" i="6"/>
  <c r="P19" i="6"/>
  <c r="P20" i="6" s="1"/>
  <c r="R19" i="6"/>
  <c r="P7" i="6"/>
  <c r="P6" i="6"/>
  <c r="P13" i="6"/>
  <c r="P12" i="6"/>
  <c r="T12" i="6"/>
  <c r="R12" i="6"/>
  <c r="S12" i="6"/>
  <c r="Q12" i="6"/>
  <c r="R33" i="2"/>
  <c r="I35" i="6"/>
  <c r="M34" i="6"/>
  <c r="I36" i="6"/>
  <c r="M35" i="6"/>
  <c r="J34" i="6"/>
  <c r="D33" i="6"/>
  <c r="J33" i="6" s="1"/>
  <c r="L34" i="6"/>
  <c r="K35" i="6"/>
  <c r="M28" i="6"/>
  <c r="Y28" i="6" s="1"/>
  <c r="M36" i="6"/>
  <c r="K28" i="6"/>
  <c r="L35" i="6"/>
  <c r="K36" i="6"/>
  <c r="L28" i="6"/>
  <c r="X28" i="6" s="1"/>
  <c r="L36" i="6"/>
  <c r="X36" i="6" s="1"/>
  <c r="K34" i="6"/>
  <c r="I34" i="6"/>
  <c r="P11" i="6"/>
  <c r="P9" i="6"/>
  <c r="P5" i="6"/>
  <c r="Z35" i="6" l="1"/>
  <c r="V34" i="6"/>
  <c r="P24" i="6"/>
  <c r="P14" i="6"/>
  <c r="Z36" i="6"/>
  <c r="X35" i="6"/>
  <c r="W35" i="6"/>
  <c r="Y35" i="6"/>
  <c r="V35" i="6"/>
  <c r="U36" i="6"/>
  <c r="U35" i="6"/>
  <c r="U37" i="6"/>
  <c r="Y36" i="6"/>
  <c r="V33" i="6"/>
  <c r="W36" i="6"/>
  <c r="U38" i="6"/>
  <c r="U26" i="6"/>
  <c r="U19" i="6"/>
  <c r="O34" i="6"/>
  <c r="T33" i="2"/>
  <c r="E33" i="6"/>
  <c r="W28" i="6"/>
  <c r="O35" i="6"/>
  <c r="O36" i="6"/>
  <c r="W34" i="6"/>
  <c r="S33" i="2"/>
  <c r="AA36" i="6" l="1"/>
  <c r="AA35" i="6"/>
  <c r="P33" i="2"/>
  <c r="F33" i="6"/>
  <c r="L33" i="6" s="1"/>
  <c r="K33" i="6"/>
  <c r="G33" i="6"/>
  <c r="M33" i="6" s="1"/>
  <c r="X34" i="6"/>
  <c r="U33" i="2" l="1"/>
  <c r="V33" i="2"/>
  <c r="H33" i="6"/>
  <c r="U25" i="6"/>
  <c r="Z34" i="6"/>
  <c r="Y34" i="6"/>
  <c r="D104" i="2"/>
  <c r="E104" i="2"/>
  <c r="F104" i="2"/>
  <c r="G104" i="2"/>
  <c r="C104" i="2"/>
  <c r="W33" i="2" l="1"/>
  <c r="Y33" i="2" s="1"/>
  <c r="X33" i="2"/>
  <c r="I33" i="6"/>
  <c r="N33" i="6"/>
  <c r="O33" i="6" s="1"/>
  <c r="AA34" i="6"/>
  <c r="U34" i="6"/>
  <c r="U12" i="6"/>
  <c r="I142" i="2"/>
  <c r="H142" i="2"/>
  <c r="I141" i="2"/>
  <c r="H141" i="2"/>
  <c r="I140" i="2"/>
  <c r="H140" i="2"/>
  <c r="I139" i="2"/>
  <c r="H139" i="2"/>
  <c r="H130" i="2"/>
  <c r="H129" i="2"/>
  <c r="H128" i="2"/>
  <c r="H127" i="2"/>
  <c r="H126" i="2"/>
  <c r="H124" i="2"/>
  <c r="H123" i="2"/>
  <c r="H122" i="2"/>
  <c r="H135" i="2"/>
  <c r="H134" i="2"/>
  <c r="I120" i="2"/>
  <c r="H120" i="2"/>
  <c r="I119" i="2"/>
  <c r="H119" i="2"/>
  <c r="I118" i="2"/>
  <c r="H118" i="2"/>
  <c r="H116" i="2"/>
  <c r="I115" i="2"/>
  <c r="H115" i="2"/>
  <c r="I113" i="2"/>
  <c r="H113" i="2"/>
  <c r="I112" i="2"/>
  <c r="H112" i="2"/>
  <c r="I110" i="2"/>
  <c r="H110" i="2"/>
  <c r="I108" i="2"/>
  <c r="H108" i="2"/>
  <c r="I106" i="2"/>
  <c r="H106" i="2"/>
  <c r="H105" i="2"/>
  <c r="I104" i="2"/>
  <c r="H104" i="2"/>
  <c r="I103" i="2"/>
  <c r="H103" i="2"/>
  <c r="H144" i="2" l="1"/>
  <c r="H102" i="2"/>
  <c r="H136" i="2" s="1"/>
  <c r="I102" i="2"/>
  <c r="D137" i="2"/>
  <c r="G137" i="2"/>
  <c r="F137" i="2"/>
  <c r="E137" i="2"/>
  <c r="C137" i="2"/>
  <c r="I45" i="2" l="1"/>
  <c r="I44" i="2"/>
  <c r="I43" i="2"/>
  <c r="I42" i="2"/>
  <c r="I32" i="2"/>
  <c r="K32" i="2" s="1"/>
  <c r="I31" i="2"/>
  <c r="K31" i="2" s="1"/>
  <c r="I30" i="2"/>
  <c r="K30" i="2" s="1"/>
  <c r="I29" i="2"/>
  <c r="K29" i="2" s="1"/>
  <c r="I25" i="2"/>
  <c r="I23" i="2"/>
  <c r="D23" i="6" s="1"/>
  <c r="J23" i="6" s="1"/>
  <c r="V23" i="6" s="1"/>
  <c r="I21" i="2"/>
  <c r="K21" i="2" s="1"/>
  <c r="I12" i="2"/>
  <c r="K12" i="2" s="1"/>
  <c r="D16" i="6"/>
  <c r="J16" i="6" s="1"/>
  <c r="V16" i="6" s="1"/>
  <c r="I13" i="2"/>
  <c r="K13" i="2" s="1"/>
  <c r="L13" i="2" s="1"/>
  <c r="I11" i="2"/>
  <c r="I8" i="2"/>
  <c r="K8" i="2" s="1"/>
  <c r="I7" i="2"/>
  <c r="K7" i="2" s="1"/>
  <c r="L7" i="2" s="1"/>
  <c r="I6" i="2"/>
  <c r="K6" i="2" s="1"/>
  <c r="G95" i="2"/>
  <c r="F95" i="2"/>
  <c r="E95" i="2"/>
  <c r="D95" i="2"/>
  <c r="C95" i="2"/>
  <c r="X93" i="2"/>
  <c r="H93" i="2"/>
  <c r="I92" i="2"/>
  <c r="K92" i="2" s="1"/>
  <c r="H92" i="2"/>
  <c r="X91" i="2"/>
  <c r="I91" i="2"/>
  <c r="H91" i="2"/>
  <c r="W90" i="2"/>
  <c r="I90" i="2"/>
  <c r="H90" i="2"/>
  <c r="C87" i="2"/>
  <c r="I81" i="2"/>
  <c r="L81" i="2" s="1"/>
  <c r="H81" i="2"/>
  <c r="I80" i="2"/>
  <c r="L80" i="2" s="1"/>
  <c r="H80" i="2"/>
  <c r="I79" i="2"/>
  <c r="L79" i="2" s="1"/>
  <c r="H79" i="2"/>
  <c r="I78" i="2"/>
  <c r="L78" i="2" s="1"/>
  <c r="H78" i="2"/>
  <c r="I77" i="2"/>
  <c r="L77" i="2" s="1"/>
  <c r="H77" i="2"/>
  <c r="L75" i="2"/>
  <c r="H74" i="2"/>
  <c r="H73" i="2"/>
  <c r="H86" i="2"/>
  <c r="H85" i="2"/>
  <c r="I71" i="2"/>
  <c r="L71" i="2" s="1"/>
  <c r="H71" i="2"/>
  <c r="F87" i="2"/>
  <c r="I70" i="2"/>
  <c r="L70" i="2" s="1"/>
  <c r="I69" i="2"/>
  <c r="L69" i="2" s="1"/>
  <c r="H69" i="2"/>
  <c r="W67" i="2"/>
  <c r="H67" i="2"/>
  <c r="W60" i="2"/>
  <c r="H60" i="2"/>
  <c r="X66" i="2"/>
  <c r="W66" i="2"/>
  <c r="I64" i="2"/>
  <c r="L64" i="2" s="1"/>
  <c r="H64" i="2"/>
  <c r="I63" i="2"/>
  <c r="H63" i="2"/>
  <c r="G87" i="2"/>
  <c r="C88" i="2" s="1"/>
  <c r="I61" i="2"/>
  <c r="L61" i="2" s="1"/>
  <c r="H61" i="2"/>
  <c r="X59" i="2"/>
  <c r="I59" i="2"/>
  <c r="L59" i="2" s="1"/>
  <c r="H59" i="2"/>
  <c r="X57" i="2"/>
  <c r="I57" i="2"/>
  <c r="L57" i="2" s="1"/>
  <c r="H57" i="2"/>
  <c r="H56" i="2"/>
  <c r="H55" i="2"/>
  <c r="I54" i="2"/>
  <c r="L54" i="2" s="1"/>
  <c r="H54" i="2"/>
  <c r="D87" i="2"/>
  <c r="H37" i="2"/>
  <c r="H38" i="2"/>
  <c r="K37" i="2"/>
  <c r="K38" i="2"/>
  <c r="K26" i="2"/>
  <c r="L26" i="2" s="1"/>
  <c r="G163" i="2"/>
  <c r="F163" i="2"/>
  <c r="E163" i="2"/>
  <c r="D163" i="2"/>
  <c r="C163" i="2"/>
  <c r="G162" i="2"/>
  <c r="F162" i="2"/>
  <c r="E162" i="2"/>
  <c r="D162" i="2"/>
  <c r="C162" i="2"/>
  <c r="G161" i="2"/>
  <c r="F161" i="2"/>
  <c r="E161" i="2"/>
  <c r="D161" i="2"/>
  <c r="C161" i="2"/>
  <c r="G160" i="2"/>
  <c r="F160" i="2"/>
  <c r="E160" i="2"/>
  <c r="D160" i="2"/>
  <c r="C160" i="2"/>
  <c r="G157" i="2"/>
  <c r="F157" i="2"/>
  <c r="E157" i="2"/>
  <c r="D157" i="2"/>
  <c r="C157" i="2"/>
  <c r="G156" i="2"/>
  <c r="V18" i="2" s="1"/>
  <c r="F156" i="2"/>
  <c r="U18" i="2" s="1"/>
  <c r="E156" i="2"/>
  <c r="T18" i="2" s="1"/>
  <c r="D156" i="2"/>
  <c r="C156" i="2"/>
  <c r="G155" i="2"/>
  <c r="V12" i="2" s="1"/>
  <c r="F155" i="2"/>
  <c r="U12" i="2" s="1"/>
  <c r="E155" i="2"/>
  <c r="T12" i="2" s="1"/>
  <c r="D155" i="2"/>
  <c r="S12" i="2" s="1"/>
  <c r="C155" i="2"/>
  <c r="G154" i="2"/>
  <c r="V11" i="2" s="1"/>
  <c r="F154" i="2"/>
  <c r="U11" i="2" s="1"/>
  <c r="E154" i="2"/>
  <c r="T11" i="2" s="1"/>
  <c r="E171" i="2" s="1"/>
  <c r="D154" i="2"/>
  <c r="S11" i="2" s="1"/>
  <c r="C154" i="2"/>
  <c r="G153" i="2"/>
  <c r="V5" i="2" s="1"/>
  <c r="F153" i="2"/>
  <c r="U5" i="2" s="1"/>
  <c r="E153" i="2"/>
  <c r="T5" i="2" s="1"/>
  <c r="D153" i="2"/>
  <c r="S5" i="2" s="1"/>
  <c r="C153" i="2"/>
  <c r="G152" i="2"/>
  <c r="V9" i="2" s="1"/>
  <c r="F152" i="2"/>
  <c r="U9" i="2" s="1"/>
  <c r="E152" i="2"/>
  <c r="T9" i="2" s="1"/>
  <c r="E169" i="2" s="1"/>
  <c r="D152" i="2"/>
  <c r="S9" i="2" s="1"/>
  <c r="C152" i="2"/>
  <c r="G46" i="2"/>
  <c r="F46" i="2"/>
  <c r="E46" i="2"/>
  <c r="D46" i="2"/>
  <c r="C46" i="2"/>
  <c r="H45" i="2"/>
  <c r="H44" i="2"/>
  <c r="H43" i="2"/>
  <c r="H42" i="2"/>
  <c r="C39" i="2"/>
  <c r="H32" i="2"/>
  <c r="H31" i="2"/>
  <c r="H30" i="2"/>
  <c r="H29" i="2"/>
  <c r="H25" i="2"/>
  <c r="H23" i="2"/>
  <c r="E22" i="2"/>
  <c r="H21" i="2"/>
  <c r="H12" i="2"/>
  <c r="D18" i="2"/>
  <c r="H16" i="2"/>
  <c r="G15" i="2"/>
  <c r="H13" i="2"/>
  <c r="H11" i="2"/>
  <c r="H9" i="2"/>
  <c r="H8" i="2"/>
  <c r="H7" i="2"/>
  <c r="H6" i="2"/>
  <c r="D5" i="2"/>
  <c r="E170" i="2" l="1"/>
  <c r="F173" i="2"/>
  <c r="F170" i="2"/>
  <c r="G173" i="2"/>
  <c r="G170" i="2"/>
  <c r="F169" i="2"/>
  <c r="G172" i="2"/>
  <c r="G171" i="2"/>
  <c r="G169" i="2"/>
  <c r="F171" i="2"/>
  <c r="L92" i="2"/>
  <c r="R92" i="2"/>
  <c r="D48" i="6"/>
  <c r="F172" i="2"/>
  <c r="E172" i="2"/>
  <c r="R32" i="2"/>
  <c r="L32" i="2"/>
  <c r="R21" i="2"/>
  <c r="L21" i="2"/>
  <c r="E21" i="6" s="1"/>
  <c r="R31" i="2"/>
  <c r="L31" i="2"/>
  <c r="R38" i="2"/>
  <c r="L38" i="2"/>
  <c r="M38" i="2" s="1"/>
  <c r="N38" i="2" s="1"/>
  <c r="O38" i="2" s="1"/>
  <c r="R37" i="2"/>
  <c r="L37" i="2"/>
  <c r="M37" i="2" s="1"/>
  <c r="N37" i="2" s="1"/>
  <c r="O37" i="2" s="1"/>
  <c r="R29" i="2"/>
  <c r="L29" i="2"/>
  <c r="R30" i="2"/>
  <c r="L30" i="2"/>
  <c r="R8" i="2"/>
  <c r="L8" i="2"/>
  <c r="L56" i="2" s="1"/>
  <c r="K56" i="2"/>
  <c r="R6" i="2"/>
  <c r="L6" i="2"/>
  <c r="R12" i="2"/>
  <c r="L12" i="2"/>
  <c r="R26" i="2"/>
  <c r="M26" i="2"/>
  <c r="N26" i="2" s="1"/>
  <c r="H27" i="2"/>
  <c r="I27" i="2"/>
  <c r="T19" i="2"/>
  <c r="D13" i="6"/>
  <c r="J13" i="6" s="1"/>
  <c r="V13" i="6" s="1"/>
  <c r="R13" i="2"/>
  <c r="K15" i="2"/>
  <c r="L15" i="2" s="1"/>
  <c r="I15" i="2"/>
  <c r="U19" i="2"/>
  <c r="D7" i="6"/>
  <c r="J7" i="6" s="1"/>
  <c r="V7" i="6" s="1"/>
  <c r="R7" i="2"/>
  <c r="V19" i="2"/>
  <c r="E18" i="2"/>
  <c r="E39" i="2" s="1"/>
  <c r="S19" i="2"/>
  <c r="D38" i="6"/>
  <c r="J38" i="6" s="1"/>
  <c r="V38" i="6" s="1"/>
  <c r="M57" i="2"/>
  <c r="Q9" i="6"/>
  <c r="M70" i="2"/>
  <c r="S70" i="2"/>
  <c r="Q22" i="6"/>
  <c r="M75" i="2"/>
  <c r="S75" i="2"/>
  <c r="Q27" i="6"/>
  <c r="M78" i="2"/>
  <c r="S78" i="2"/>
  <c r="Q30" i="6"/>
  <c r="M80" i="2"/>
  <c r="S80" i="2"/>
  <c r="Q32" i="6"/>
  <c r="D8" i="6"/>
  <c r="J8" i="6" s="1"/>
  <c r="D31" i="6"/>
  <c r="J31" i="6" s="1"/>
  <c r="V31" i="6" s="1"/>
  <c r="E173" i="2"/>
  <c r="D37" i="6"/>
  <c r="J37" i="6" s="1"/>
  <c r="V37" i="6" s="1"/>
  <c r="S55" i="2"/>
  <c r="Q7" i="6"/>
  <c r="D9" i="6"/>
  <c r="J9" i="6" s="1"/>
  <c r="V9" i="6" s="1"/>
  <c r="D12" i="6"/>
  <c r="J12" i="6" s="1"/>
  <c r="V12" i="6" s="1"/>
  <c r="D25" i="6"/>
  <c r="D32" i="6"/>
  <c r="J32" i="6" s="1"/>
  <c r="V32" i="6" s="1"/>
  <c r="D171" i="2"/>
  <c r="M61" i="2"/>
  <c r="S61" i="2"/>
  <c r="Q13" i="6"/>
  <c r="M77" i="2"/>
  <c r="S77" i="2"/>
  <c r="Q29" i="6"/>
  <c r="M79" i="2"/>
  <c r="S79" i="2"/>
  <c r="Q31" i="6"/>
  <c r="M81" i="2"/>
  <c r="S81" i="2"/>
  <c r="Q33" i="6"/>
  <c r="D6" i="6"/>
  <c r="J6" i="6" s="1"/>
  <c r="V6" i="6" s="1"/>
  <c r="K11" i="2"/>
  <c r="D19" i="6"/>
  <c r="D29" i="6"/>
  <c r="J29" i="6" s="1"/>
  <c r="V29" i="6" s="1"/>
  <c r="D169" i="2"/>
  <c r="I5" i="2"/>
  <c r="K5" i="2" s="1"/>
  <c r="D172" i="2"/>
  <c r="D26" i="6"/>
  <c r="J26" i="6" s="1"/>
  <c r="V26" i="6" s="1"/>
  <c r="M54" i="2"/>
  <c r="S54" i="2"/>
  <c r="Q6" i="6"/>
  <c r="M59" i="2"/>
  <c r="Q11" i="6"/>
  <c r="M64" i="2"/>
  <c r="S64" i="2"/>
  <c r="Q16" i="6"/>
  <c r="M69" i="2"/>
  <c r="S69" i="2"/>
  <c r="Q21" i="6"/>
  <c r="M71" i="2"/>
  <c r="S71" i="2"/>
  <c r="Q23" i="6"/>
  <c r="D21" i="6"/>
  <c r="J21" i="6" s="1"/>
  <c r="D30" i="6"/>
  <c r="J30" i="6" s="1"/>
  <c r="V30" i="6" s="1"/>
  <c r="X12" i="2"/>
  <c r="X43" i="2"/>
  <c r="G39" i="2"/>
  <c r="C40" i="2" s="1"/>
  <c r="X9" i="2"/>
  <c r="X45" i="2"/>
  <c r="I22" i="2"/>
  <c r="K22" i="2" s="1"/>
  <c r="X42" i="2"/>
  <c r="H95" i="2"/>
  <c r="Y67" i="2"/>
  <c r="D88" i="2"/>
  <c r="I53" i="2"/>
  <c r="L53" i="2" s="1"/>
  <c r="W53" i="2"/>
  <c r="W57" i="2"/>
  <c r="Y57" i="2" s="1"/>
  <c r="W59" i="2"/>
  <c r="Y59" i="2" s="1"/>
  <c r="H53" i="2"/>
  <c r="X53" i="2"/>
  <c r="E87" i="2"/>
  <c r="F88" i="2" s="1"/>
  <c r="Y60" i="2"/>
  <c r="G88" i="2"/>
  <c r="X90" i="2"/>
  <c r="W93" i="2"/>
  <c r="K95" i="2"/>
  <c r="H70" i="2"/>
  <c r="H75" i="2"/>
  <c r="W91" i="2"/>
  <c r="R95" i="2"/>
  <c r="E23" i="6"/>
  <c r="E16" i="6"/>
  <c r="E7" i="6"/>
  <c r="K7" i="6" s="1"/>
  <c r="K46" i="2"/>
  <c r="E13" i="6"/>
  <c r="H46" i="2"/>
  <c r="D158" i="2"/>
  <c r="H156" i="2"/>
  <c r="F164" i="2"/>
  <c r="H162" i="2"/>
  <c r="E6" i="6"/>
  <c r="K6" i="6" s="1"/>
  <c r="S18" i="2"/>
  <c r="X44" i="2"/>
  <c r="R46" i="2"/>
  <c r="W12" i="2"/>
  <c r="Y12" i="2" s="1"/>
  <c r="H153" i="2"/>
  <c r="H157" i="2"/>
  <c r="G164" i="2"/>
  <c r="H163" i="2"/>
  <c r="F158" i="2"/>
  <c r="H154" i="2"/>
  <c r="D164" i="2"/>
  <c r="E158" i="2"/>
  <c r="C164" i="2"/>
  <c r="H178" i="2"/>
  <c r="C158" i="2"/>
  <c r="G158" i="2"/>
  <c r="H155" i="2"/>
  <c r="E164" i="2"/>
  <c r="H161" i="2"/>
  <c r="H180" i="2"/>
  <c r="D39" i="2"/>
  <c r="H22" i="2"/>
  <c r="H15" i="2"/>
  <c r="H18" i="2"/>
  <c r="H160" i="2"/>
  <c r="H177" i="2"/>
  <c r="F39" i="2"/>
  <c r="H5" i="2"/>
  <c r="H152" i="2"/>
  <c r="C173" i="2" l="1"/>
  <c r="C169" i="2"/>
  <c r="H171" i="2"/>
  <c r="D170" i="2"/>
  <c r="H170" i="2" s="1"/>
  <c r="C174" i="2"/>
  <c r="H172" i="2"/>
  <c r="S92" i="2"/>
  <c r="M92" i="2"/>
  <c r="E48" i="6"/>
  <c r="P48" i="6"/>
  <c r="D51" i="6"/>
  <c r="J48" i="6"/>
  <c r="H169" i="2"/>
  <c r="D15" i="6"/>
  <c r="D17" i="6" s="1"/>
  <c r="R22" i="2"/>
  <c r="L22" i="2"/>
  <c r="M22" i="2" s="1"/>
  <c r="R5" i="2"/>
  <c r="L5" i="2"/>
  <c r="R56" i="2"/>
  <c r="P8" i="6"/>
  <c r="P10" i="6" s="1"/>
  <c r="R11" i="2"/>
  <c r="W11" i="2" s="1"/>
  <c r="Y11" i="2" s="1"/>
  <c r="L11" i="2"/>
  <c r="E11" i="6" s="1"/>
  <c r="W7" i="6"/>
  <c r="S56" i="2"/>
  <c r="Q8" i="6"/>
  <c r="E40" i="2"/>
  <c r="W6" i="6"/>
  <c r="I18" i="2"/>
  <c r="K63" i="2"/>
  <c r="M15" i="2"/>
  <c r="N15" i="2" s="1"/>
  <c r="O15" i="2" s="1"/>
  <c r="R15" i="2"/>
  <c r="X19" i="2"/>
  <c r="W19" i="2"/>
  <c r="D5" i="6"/>
  <c r="F37" i="6"/>
  <c r="L37" i="6" s="1"/>
  <c r="X37" i="6" s="1"/>
  <c r="E30" i="6"/>
  <c r="E25" i="6"/>
  <c r="E31" i="6"/>
  <c r="M8" i="2"/>
  <c r="F8" i="6" s="1"/>
  <c r="E8" i="6"/>
  <c r="K8" i="6" s="1"/>
  <c r="N54" i="2"/>
  <c r="T54" i="2"/>
  <c r="R6" i="6"/>
  <c r="J25" i="6"/>
  <c r="M12" i="2"/>
  <c r="E12" i="6"/>
  <c r="X18" i="2"/>
  <c r="D27" i="6"/>
  <c r="J27" i="6" s="1"/>
  <c r="V27" i="6" s="1"/>
  <c r="N64" i="2"/>
  <c r="T64" i="2"/>
  <c r="R16" i="6"/>
  <c r="N59" i="2"/>
  <c r="R11" i="6"/>
  <c r="E29" i="6"/>
  <c r="K13" i="6"/>
  <c r="W13" i="6" s="1"/>
  <c r="N69" i="2"/>
  <c r="T69" i="2"/>
  <c r="R21" i="6"/>
  <c r="J19" i="6"/>
  <c r="V19" i="6" s="1"/>
  <c r="K21" i="6"/>
  <c r="W21" i="6" s="1"/>
  <c r="K23" i="6"/>
  <c r="W23" i="6" s="1"/>
  <c r="E32" i="6"/>
  <c r="D18" i="6"/>
  <c r="J18" i="6" s="1"/>
  <c r="D22" i="6"/>
  <c r="V21" i="6"/>
  <c r="E19" i="6"/>
  <c r="N81" i="2"/>
  <c r="T81" i="2"/>
  <c r="R33" i="6"/>
  <c r="X33" i="6" s="1"/>
  <c r="N79" i="2"/>
  <c r="T79" i="2"/>
  <c r="R31" i="6"/>
  <c r="N77" i="2"/>
  <c r="T77" i="2"/>
  <c r="R29" i="6"/>
  <c r="N61" i="2"/>
  <c r="T61" i="2"/>
  <c r="R13" i="6"/>
  <c r="M9" i="2"/>
  <c r="E9" i="6"/>
  <c r="K9" i="6" s="1"/>
  <c r="W9" i="6" s="1"/>
  <c r="T55" i="2"/>
  <c r="R7" i="6"/>
  <c r="N57" i="2"/>
  <c r="R9" i="6"/>
  <c r="K16" i="6"/>
  <c r="W16" i="6" s="1"/>
  <c r="E26" i="6"/>
  <c r="N71" i="2"/>
  <c r="T71" i="2"/>
  <c r="R23" i="6"/>
  <c r="E37" i="6"/>
  <c r="E38" i="6"/>
  <c r="Q5" i="6"/>
  <c r="M53" i="2"/>
  <c r="S37" i="2"/>
  <c r="Q24" i="6"/>
  <c r="Q14" i="6"/>
  <c r="D11" i="6"/>
  <c r="W33" i="6"/>
  <c r="N80" i="2"/>
  <c r="T80" i="2"/>
  <c r="R32" i="6"/>
  <c r="N78" i="2"/>
  <c r="T78" i="2"/>
  <c r="R30" i="6"/>
  <c r="N75" i="2"/>
  <c r="T75" i="2"/>
  <c r="R27" i="6"/>
  <c r="N70" i="2"/>
  <c r="T70" i="2"/>
  <c r="R22" i="6"/>
  <c r="G40" i="2"/>
  <c r="T37" i="2"/>
  <c r="H164" i="2"/>
  <c r="S8" i="2"/>
  <c r="U37" i="2"/>
  <c r="F40" i="2"/>
  <c r="D40" i="2"/>
  <c r="S26" i="2"/>
  <c r="P93" i="2"/>
  <c r="H66" i="2"/>
  <c r="Y66" i="2" s="1"/>
  <c r="I66" i="2"/>
  <c r="L66" i="2" s="1"/>
  <c r="Y53" i="2"/>
  <c r="P67" i="2"/>
  <c r="E88" i="2"/>
  <c r="P60" i="2"/>
  <c r="L95" i="2"/>
  <c r="M29" i="2"/>
  <c r="S29" i="2"/>
  <c r="M13" i="2"/>
  <c r="F13" i="6" s="1"/>
  <c r="S13" i="2"/>
  <c r="L46" i="2"/>
  <c r="M30" i="2"/>
  <c r="S30" i="2"/>
  <c r="M21" i="2"/>
  <c r="F21" i="6" s="1"/>
  <c r="S21" i="2"/>
  <c r="S27" i="2"/>
  <c r="S7" i="2"/>
  <c r="M7" i="2"/>
  <c r="F7" i="6" s="1"/>
  <c r="F16" i="6"/>
  <c r="S16" i="2"/>
  <c r="S32" i="2"/>
  <c r="M32" i="2"/>
  <c r="S38" i="2"/>
  <c r="S25" i="2"/>
  <c r="F23" i="6"/>
  <c r="S23" i="2"/>
  <c r="M6" i="2"/>
  <c r="F6" i="6" s="1"/>
  <c r="S6" i="2"/>
  <c r="S31" i="2"/>
  <c r="M31" i="2"/>
  <c r="S46" i="2"/>
  <c r="W9" i="2"/>
  <c r="Y9" i="2" s="1"/>
  <c r="W18" i="2"/>
  <c r="Y18" i="2" s="1"/>
  <c r="H39" i="2"/>
  <c r="H158" i="2"/>
  <c r="N92" i="2" l="1"/>
  <c r="F48" i="6"/>
  <c r="T92" i="2"/>
  <c r="S95" i="2"/>
  <c r="P51" i="6"/>
  <c r="V48" i="6"/>
  <c r="V51" i="6" s="1"/>
  <c r="V53" i="6" s="1"/>
  <c r="J51" i="6"/>
  <c r="K48" i="6"/>
  <c r="Q48" i="6"/>
  <c r="E51" i="6"/>
  <c r="E174" i="2"/>
  <c r="E175" i="2" s="1"/>
  <c r="G174" i="2"/>
  <c r="G175" i="2" s="1"/>
  <c r="J15" i="6"/>
  <c r="C172" i="2"/>
  <c r="F174" i="2"/>
  <c r="F175" i="2" s="1"/>
  <c r="V8" i="6"/>
  <c r="M11" i="2"/>
  <c r="F11" i="6" s="1"/>
  <c r="L11" i="6" s="1"/>
  <c r="X11" i="6" s="1"/>
  <c r="W8" i="6"/>
  <c r="N8" i="2"/>
  <c r="N56" i="2" s="1"/>
  <c r="M56" i="2"/>
  <c r="X5" i="2"/>
  <c r="D174" i="2"/>
  <c r="K87" i="2"/>
  <c r="P15" i="6"/>
  <c r="P17" i="6" s="1"/>
  <c r="P39" i="6" s="1"/>
  <c r="R63" i="2"/>
  <c r="R87" i="2" s="1"/>
  <c r="L63" i="2"/>
  <c r="L87" i="2" s="1"/>
  <c r="T8" i="2"/>
  <c r="M66" i="2"/>
  <c r="Q18" i="6"/>
  <c r="J11" i="6"/>
  <c r="D14" i="6"/>
  <c r="Q10" i="6"/>
  <c r="K37" i="6"/>
  <c r="S22" i="2"/>
  <c r="E22" i="6"/>
  <c r="O59" i="2"/>
  <c r="S11" i="6"/>
  <c r="E27" i="6"/>
  <c r="F38" i="6"/>
  <c r="L38" i="6" s="1"/>
  <c r="X38" i="6" s="1"/>
  <c r="X11" i="2"/>
  <c r="O57" i="2"/>
  <c r="S9" i="6"/>
  <c r="F9" i="6"/>
  <c r="L9" i="6" s="1"/>
  <c r="X9" i="6" s="1"/>
  <c r="N9" i="2"/>
  <c r="O61" i="2"/>
  <c r="U61" i="2"/>
  <c r="S13" i="6"/>
  <c r="O77" i="2"/>
  <c r="U77" i="2"/>
  <c r="S29" i="6"/>
  <c r="O79" i="2"/>
  <c r="U79" i="2"/>
  <c r="S31" i="6"/>
  <c r="O81" i="2"/>
  <c r="U81" i="2"/>
  <c r="S33" i="6"/>
  <c r="V18" i="6"/>
  <c r="J20" i="6"/>
  <c r="V20" i="6" s="1"/>
  <c r="O69" i="2"/>
  <c r="U69" i="2"/>
  <c r="S21" i="6"/>
  <c r="O64" i="2"/>
  <c r="U64" i="2"/>
  <c r="S16" i="6"/>
  <c r="D173" i="2"/>
  <c r="V25" i="6"/>
  <c r="E14" i="6"/>
  <c r="K11" i="6"/>
  <c r="K31" i="6"/>
  <c r="W31" i="6" s="1"/>
  <c r="K30" i="6"/>
  <c r="W30" i="6" s="1"/>
  <c r="G37" i="6"/>
  <c r="M37" i="6" s="1"/>
  <c r="Y37" i="6" s="1"/>
  <c r="F27" i="6"/>
  <c r="L27" i="6" s="1"/>
  <c r="X27" i="6" s="1"/>
  <c r="F26" i="6"/>
  <c r="L26" i="6" s="1"/>
  <c r="X26" i="6" s="1"/>
  <c r="O70" i="2"/>
  <c r="U70" i="2"/>
  <c r="S22" i="6"/>
  <c r="O75" i="2"/>
  <c r="U75" i="2"/>
  <c r="S27" i="6"/>
  <c r="O78" i="2"/>
  <c r="U78" i="2"/>
  <c r="S30" i="6"/>
  <c r="O80" i="2"/>
  <c r="U80" i="2"/>
  <c r="S32" i="6"/>
  <c r="K38" i="6"/>
  <c r="O71" i="2"/>
  <c r="U71" i="2"/>
  <c r="S23" i="6"/>
  <c r="K19" i="6"/>
  <c r="W19" i="6" s="1"/>
  <c r="E18" i="6"/>
  <c r="R24" i="6"/>
  <c r="J17" i="6"/>
  <c r="K29" i="6"/>
  <c r="W29" i="6" s="1"/>
  <c r="R14" i="6"/>
  <c r="K12" i="6"/>
  <c r="O54" i="2"/>
  <c r="U54" i="2"/>
  <c r="S6" i="6"/>
  <c r="J5" i="6"/>
  <c r="D10" i="6"/>
  <c r="F25" i="6"/>
  <c r="L25" i="6" s="1"/>
  <c r="X25" i="6" s="1"/>
  <c r="F15" i="6"/>
  <c r="L15" i="6" s="1"/>
  <c r="E15" i="6"/>
  <c r="N53" i="2"/>
  <c r="R5" i="6"/>
  <c r="K26" i="6"/>
  <c r="U55" i="2"/>
  <c r="S7" i="6"/>
  <c r="F19" i="6"/>
  <c r="L19" i="6" s="1"/>
  <c r="X19" i="6" s="1"/>
  <c r="D24" i="6"/>
  <c r="J22" i="6"/>
  <c r="K32" i="6"/>
  <c r="W32" i="6" s="1"/>
  <c r="D20" i="6"/>
  <c r="F12" i="6"/>
  <c r="L12" i="6" s="1"/>
  <c r="X12" i="6" s="1"/>
  <c r="N12" i="2"/>
  <c r="K25" i="6"/>
  <c r="M5" i="2"/>
  <c r="E5" i="6"/>
  <c r="L21" i="6"/>
  <c r="L23" i="6"/>
  <c r="L16" i="6"/>
  <c r="L8" i="6"/>
  <c r="L13" i="6"/>
  <c r="F31" i="6"/>
  <c r="F32" i="6"/>
  <c r="F30" i="6"/>
  <c r="F29" i="6"/>
  <c r="T22" i="2"/>
  <c r="F22" i="6"/>
  <c r="L7" i="6"/>
  <c r="X7" i="6" s="1"/>
  <c r="L6" i="6"/>
  <c r="S15" i="2"/>
  <c r="N22" i="2"/>
  <c r="R39" i="2"/>
  <c r="U8" i="2"/>
  <c r="H87" i="2"/>
  <c r="T26" i="2"/>
  <c r="P73" i="2"/>
  <c r="W73" i="2"/>
  <c r="Y73" i="2" s="1"/>
  <c r="W85" i="2"/>
  <c r="Y85" i="2" s="1"/>
  <c r="M95" i="2"/>
  <c r="P85" i="2"/>
  <c r="T16" i="2"/>
  <c r="G16" i="6"/>
  <c r="M16" i="6" s="1"/>
  <c r="T21" i="2"/>
  <c r="N21" i="2"/>
  <c r="G21" i="6" s="1"/>
  <c r="M21" i="6" s="1"/>
  <c r="M46" i="2"/>
  <c r="T25" i="2"/>
  <c r="N32" i="2"/>
  <c r="T32" i="2"/>
  <c r="T27" i="2"/>
  <c r="T29" i="2"/>
  <c r="N29" i="2"/>
  <c r="T6" i="2"/>
  <c r="N6" i="2"/>
  <c r="G6" i="6" s="1"/>
  <c r="T7" i="2"/>
  <c r="N7" i="2"/>
  <c r="G7" i="6" s="1"/>
  <c r="M7" i="6" s="1"/>
  <c r="T30" i="2"/>
  <c r="N30" i="2"/>
  <c r="T31" i="2"/>
  <c r="N31" i="2"/>
  <c r="T23" i="2"/>
  <c r="G23" i="6"/>
  <c r="M23" i="6" s="1"/>
  <c r="T38" i="2"/>
  <c r="T13" i="2"/>
  <c r="N13" i="2"/>
  <c r="G13" i="6" s="1"/>
  <c r="M13" i="6" s="1"/>
  <c r="T46" i="2"/>
  <c r="L39" i="2"/>
  <c r="K39" i="2"/>
  <c r="L175" i="1"/>
  <c r="F175" i="1"/>
  <c r="K175" i="1" s="1"/>
  <c r="L174" i="1"/>
  <c r="E174" i="1"/>
  <c r="K174" i="1" s="1"/>
  <c r="D173" i="1"/>
  <c r="K173" i="1" s="1"/>
  <c r="M173" i="1" s="1"/>
  <c r="D172" i="1"/>
  <c r="C172" i="1"/>
  <c r="C171" i="1"/>
  <c r="K171" i="1" s="1"/>
  <c r="M171" i="1" s="1"/>
  <c r="F166" i="1"/>
  <c r="D166" i="1"/>
  <c r="K165" i="1"/>
  <c r="M165" i="1" s="1"/>
  <c r="L163" i="1"/>
  <c r="I163" i="1"/>
  <c r="I164" i="1" s="1"/>
  <c r="H163" i="1"/>
  <c r="H164" i="1" s="1"/>
  <c r="H166" i="1" s="1"/>
  <c r="K162" i="1"/>
  <c r="M162" i="1" s="1"/>
  <c r="P55" i="6" l="1"/>
  <c r="C179" i="2"/>
  <c r="C182" i="2" s="1"/>
  <c r="U92" i="2"/>
  <c r="T95" i="2"/>
  <c r="K163" i="1"/>
  <c r="M163" i="1" s="1"/>
  <c r="Q51" i="6"/>
  <c r="K51" i="6"/>
  <c r="W48" i="6"/>
  <c r="F51" i="6"/>
  <c r="R48" i="6"/>
  <c r="R51" i="6" s="1"/>
  <c r="L48" i="6"/>
  <c r="O92" i="2"/>
  <c r="H48" i="6" s="1"/>
  <c r="G48" i="6"/>
  <c r="H174" i="2"/>
  <c r="H173" i="2"/>
  <c r="D175" i="2"/>
  <c r="O8" i="2"/>
  <c r="V8" i="2" s="1"/>
  <c r="N11" i="2"/>
  <c r="V17" i="6"/>
  <c r="G8" i="6"/>
  <c r="M8" i="6" s="1"/>
  <c r="V15" i="6"/>
  <c r="Y7" i="6"/>
  <c r="T56" i="2"/>
  <c r="R8" i="6"/>
  <c r="R10" i="6" s="1"/>
  <c r="U56" i="2"/>
  <c r="S8" i="6"/>
  <c r="Q15" i="6"/>
  <c r="Q17" i="6" s="1"/>
  <c r="M63" i="2"/>
  <c r="S63" i="2"/>
  <c r="S87" i="2" s="1"/>
  <c r="Y23" i="6"/>
  <c r="Y16" i="6"/>
  <c r="G15" i="6"/>
  <c r="M15" i="6" s="1"/>
  <c r="D39" i="6"/>
  <c r="D55" i="6" s="1"/>
  <c r="F17" i="6"/>
  <c r="T15" i="2"/>
  <c r="M39" i="2"/>
  <c r="G19" i="6"/>
  <c r="M19" i="6" s="1"/>
  <c r="Y19" i="6" s="1"/>
  <c r="H19" i="6"/>
  <c r="N19" i="6" s="1"/>
  <c r="Z19" i="6" s="1"/>
  <c r="K18" i="6"/>
  <c r="E20" i="6"/>
  <c r="W38" i="6"/>
  <c r="V37" i="2"/>
  <c r="H37" i="6"/>
  <c r="P37" i="2"/>
  <c r="V69" i="2"/>
  <c r="T21" i="6"/>
  <c r="S14" i="6"/>
  <c r="Q20" i="6"/>
  <c r="G26" i="6"/>
  <c r="G38" i="6"/>
  <c r="K27" i="6"/>
  <c r="E24" i="6"/>
  <c r="K22" i="6"/>
  <c r="N66" i="2"/>
  <c r="R18" i="6"/>
  <c r="R20" i="6" s="1"/>
  <c r="E10" i="6"/>
  <c r="K5" i="6"/>
  <c r="W25" i="6"/>
  <c r="W12" i="6"/>
  <c r="F18" i="6"/>
  <c r="K14" i="6"/>
  <c r="W14" i="6" s="1"/>
  <c r="W11" i="6"/>
  <c r="S24" i="6"/>
  <c r="T11" i="6"/>
  <c r="P59" i="2"/>
  <c r="G25" i="6"/>
  <c r="S39" i="2"/>
  <c r="S40" i="2" s="1"/>
  <c r="F14" i="6"/>
  <c r="F5" i="6"/>
  <c r="N5" i="2"/>
  <c r="V55" i="2"/>
  <c r="W55" i="2" s="1"/>
  <c r="Y55" i="2" s="1"/>
  <c r="T7" i="6"/>
  <c r="S5" i="6"/>
  <c r="O53" i="2"/>
  <c r="K15" i="6"/>
  <c r="E17" i="6"/>
  <c r="V5" i="6"/>
  <c r="J10" i="6"/>
  <c r="V54" i="2"/>
  <c r="W54" i="2" s="1"/>
  <c r="T6" i="6"/>
  <c r="U6" i="6" s="1"/>
  <c r="V71" i="2"/>
  <c r="W71" i="2" s="1"/>
  <c r="Y71" i="2" s="1"/>
  <c r="T23" i="6"/>
  <c r="U23" i="6" s="1"/>
  <c r="V81" i="2"/>
  <c r="T33" i="6"/>
  <c r="Z33" i="6" s="1"/>
  <c r="V79" i="2"/>
  <c r="W79" i="2" s="1"/>
  <c r="Y79" i="2" s="1"/>
  <c r="T31" i="6"/>
  <c r="V77" i="2"/>
  <c r="T29" i="6"/>
  <c r="V61" i="2"/>
  <c r="W61" i="2" s="1"/>
  <c r="Y61" i="2" s="1"/>
  <c r="T13" i="6"/>
  <c r="V22" i="6"/>
  <c r="J24" i="6"/>
  <c r="V24" i="6" s="1"/>
  <c r="Y13" i="6"/>
  <c r="G27" i="6"/>
  <c r="M27" i="6" s="1"/>
  <c r="Y27" i="6" s="1"/>
  <c r="O12" i="2"/>
  <c r="H12" i="6" s="1"/>
  <c r="N12" i="6" s="1"/>
  <c r="G12" i="6"/>
  <c r="M12" i="6" s="1"/>
  <c r="Y12" i="6" s="1"/>
  <c r="W26" i="6"/>
  <c r="O11" i="2"/>
  <c r="H11" i="6" s="1"/>
  <c r="N11" i="6" s="1"/>
  <c r="G11" i="6"/>
  <c r="M11" i="6" s="1"/>
  <c r="Y11" i="6" s="1"/>
  <c r="V80" i="2"/>
  <c r="T32" i="6"/>
  <c r="U32" i="6" s="1"/>
  <c r="V78" i="2"/>
  <c r="T30" i="6"/>
  <c r="V75" i="2"/>
  <c r="T27" i="6"/>
  <c r="U27" i="6" s="1"/>
  <c r="V70" i="2"/>
  <c r="T22" i="6"/>
  <c r="U22" i="6" s="1"/>
  <c r="V64" i="2"/>
  <c r="T16" i="6"/>
  <c r="Y33" i="6"/>
  <c r="O9" i="2"/>
  <c r="H9" i="6" s="1"/>
  <c r="N9" i="6" s="1"/>
  <c r="G9" i="6"/>
  <c r="M9" i="6" s="1"/>
  <c r="Y9" i="6" s="1"/>
  <c r="T9" i="6"/>
  <c r="U9" i="6" s="1"/>
  <c r="P57" i="2"/>
  <c r="W37" i="6"/>
  <c r="V11" i="6"/>
  <c r="J14" i="6"/>
  <c r="V14" i="6" s="1"/>
  <c r="Y21" i="6"/>
  <c r="L29" i="6"/>
  <c r="L32" i="6"/>
  <c r="G29" i="6"/>
  <c r="M29" i="6" s="1"/>
  <c r="Y29" i="6" s="1"/>
  <c r="O22" i="2"/>
  <c r="V22" i="2" s="1"/>
  <c r="G22" i="6"/>
  <c r="X23" i="6"/>
  <c r="G31" i="6"/>
  <c r="M31" i="6" s="1"/>
  <c r="Y31" i="6" s="1"/>
  <c r="G30" i="6"/>
  <c r="M30" i="6" s="1"/>
  <c r="Y30" i="6" s="1"/>
  <c r="G32" i="6"/>
  <c r="M32" i="6" s="1"/>
  <c r="Y32" i="6" s="1"/>
  <c r="L17" i="6"/>
  <c r="L22" i="6"/>
  <c r="L24" i="6" s="1"/>
  <c r="F24" i="6"/>
  <c r="L30" i="6"/>
  <c r="L31" i="6"/>
  <c r="X13" i="6"/>
  <c r="L14" i="6"/>
  <c r="X16" i="6"/>
  <c r="X21" i="6"/>
  <c r="X6" i="6"/>
  <c r="M6" i="6"/>
  <c r="U22" i="2"/>
  <c r="M175" i="1"/>
  <c r="K172" i="1"/>
  <c r="M172" i="1" s="1"/>
  <c r="M174" i="1"/>
  <c r="O26" i="2"/>
  <c r="U26" i="2"/>
  <c r="M87" i="2"/>
  <c r="P71" i="2"/>
  <c r="N95" i="2"/>
  <c r="P64" i="2"/>
  <c r="P77" i="2"/>
  <c r="P79" i="2"/>
  <c r="X54" i="2"/>
  <c r="P55" i="2"/>
  <c r="P81" i="2"/>
  <c r="U38" i="2"/>
  <c r="O7" i="2"/>
  <c r="U7" i="2"/>
  <c r="O32" i="2"/>
  <c r="U32" i="2"/>
  <c r="O31" i="2"/>
  <c r="U31" i="2"/>
  <c r="U27" i="2"/>
  <c r="U25" i="2"/>
  <c r="U16" i="2"/>
  <c r="U23" i="2"/>
  <c r="U15" i="2"/>
  <c r="O30" i="2"/>
  <c r="U30" i="2"/>
  <c r="O29" i="2"/>
  <c r="U29" i="2"/>
  <c r="O46" i="2"/>
  <c r="N46" i="2"/>
  <c r="O13" i="2"/>
  <c r="U13" i="2"/>
  <c r="O6" i="2"/>
  <c r="U6" i="2"/>
  <c r="O21" i="2"/>
  <c r="U21" i="2"/>
  <c r="V46" i="2"/>
  <c r="U46" i="2"/>
  <c r="W46" i="2"/>
  <c r="W5" i="2"/>
  <c r="K166" i="1"/>
  <c r="M166" i="1" s="1"/>
  <c r="K164" i="1"/>
  <c r="M164" i="1" s="1"/>
  <c r="C171" i="2" l="1"/>
  <c r="O56" i="2"/>
  <c r="V56" i="2" s="1"/>
  <c r="W56" i="2" s="1"/>
  <c r="Y56" i="2" s="1"/>
  <c r="N48" i="6"/>
  <c r="H51" i="6"/>
  <c r="T48" i="6"/>
  <c r="T51" i="6" s="1"/>
  <c r="D179" i="2"/>
  <c r="P92" i="2"/>
  <c r="S48" i="6"/>
  <c r="S51" i="6" s="1"/>
  <c r="G51" i="6"/>
  <c r="I51" i="6" s="1"/>
  <c r="M48" i="6"/>
  <c r="I48" i="6"/>
  <c r="L51" i="6"/>
  <c r="X48" i="6"/>
  <c r="X51" i="6" s="1"/>
  <c r="W51" i="6"/>
  <c r="U51" i="6"/>
  <c r="V92" i="2"/>
  <c r="U95" i="2"/>
  <c r="X92" i="2"/>
  <c r="H8" i="6"/>
  <c r="P8" i="2"/>
  <c r="Y8" i="6"/>
  <c r="H175" i="2"/>
  <c r="C170" i="2"/>
  <c r="T39" i="2"/>
  <c r="I8" i="6"/>
  <c r="X8" i="2"/>
  <c r="G17" i="6"/>
  <c r="AA19" i="6"/>
  <c r="M14" i="6"/>
  <c r="Y14" i="6" s="1"/>
  <c r="O19" i="6"/>
  <c r="U29" i="6"/>
  <c r="P56" i="2"/>
  <c r="W8" i="2"/>
  <c r="Y8" i="2" s="1"/>
  <c r="S10" i="6"/>
  <c r="N8" i="6"/>
  <c r="O8" i="6" s="1"/>
  <c r="X8" i="6"/>
  <c r="Z12" i="6"/>
  <c r="AA12" i="6" s="1"/>
  <c r="I37" i="6"/>
  <c r="N37" i="6"/>
  <c r="AA33" i="6"/>
  <c r="U7" i="6"/>
  <c r="T63" i="2"/>
  <c r="T87" i="2" s="1"/>
  <c r="R15" i="6"/>
  <c r="N63" i="2"/>
  <c r="N87" i="2" s="1"/>
  <c r="O9" i="6"/>
  <c r="U33" i="6"/>
  <c r="U31" i="6"/>
  <c r="Z9" i="6"/>
  <c r="AA9" i="6" s="1"/>
  <c r="T14" i="6"/>
  <c r="U14" i="6" s="1"/>
  <c r="U13" i="6"/>
  <c r="Z11" i="6"/>
  <c r="AA11" i="6" s="1"/>
  <c r="P11" i="2"/>
  <c r="I19" i="6"/>
  <c r="H15" i="6"/>
  <c r="E39" i="6"/>
  <c r="E55" i="6" s="1"/>
  <c r="N39" i="2"/>
  <c r="W5" i="6"/>
  <c r="K10" i="6"/>
  <c r="O66" i="2"/>
  <c r="S18" i="6"/>
  <c r="S20" i="6" s="1"/>
  <c r="U30" i="6"/>
  <c r="X71" i="2"/>
  <c r="H26" i="6"/>
  <c r="N26" i="6" s="1"/>
  <c r="Z26" i="6" s="1"/>
  <c r="G14" i="6"/>
  <c r="P9" i="2"/>
  <c r="P12" i="2"/>
  <c r="I9" i="6"/>
  <c r="I12" i="6"/>
  <c r="V10" i="6"/>
  <c r="V39" i="6" s="1"/>
  <c r="J39" i="6"/>
  <c r="J55" i="6" s="1"/>
  <c r="K17" i="6"/>
  <c r="W17" i="6" s="1"/>
  <c r="W15" i="6"/>
  <c r="G5" i="6"/>
  <c r="O5" i="2"/>
  <c r="H5" i="6" s="1"/>
  <c r="N5" i="6" s="1"/>
  <c r="I11" i="6"/>
  <c r="O12" i="6"/>
  <c r="M26" i="6"/>
  <c r="U11" i="6"/>
  <c r="W18" i="6"/>
  <c r="K20" i="6"/>
  <c r="W20" i="6" s="1"/>
  <c r="M25" i="6"/>
  <c r="H18" i="6"/>
  <c r="G18" i="6"/>
  <c r="T24" i="6"/>
  <c r="U24" i="6" s="1"/>
  <c r="V25" i="2"/>
  <c r="W25" i="2" s="1"/>
  <c r="Y25" i="2" s="1"/>
  <c r="H25" i="6"/>
  <c r="O11" i="6"/>
  <c r="L5" i="6"/>
  <c r="F10" i="6"/>
  <c r="U21" i="6"/>
  <c r="K24" i="6"/>
  <c r="W24" i="6" s="1"/>
  <c r="W22" i="6"/>
  <c r="W27" i="6"/>
  <c r="M38" i="6"/>
  <c r="U16" i="6"/>
  <c r="W37" i="2"/>
  <c r="Y37" i="2" s="1"/>
  <c r="X37" i="2"/>
  <c r="H27" i="6"/>
  <c r="H38" i="6"/>
  <c r="T5" i="6"/>
  <c r="L18" i="6"/>
  <c r="F20" i="6"/>
  <c r="Q39" i="6"/>
  <c r="Q55" i="6" s="1"/>
  <c r="X24" i="6"/>
  <c r="X14" i="6"/>
  <c r="X31" i="6"/>
  <c r="G24" i="6"/>
  <c r="M22" i="6"/>
  <c r="X32" i="6"/>
  <c r="M17" i="6"/>
  <c r="H31" i="6"/>
  <c r="V7" i="2"/>
  <c r="H7" i="6"/>
  <c r="N7" i="6" s="1"/>
  <c r="Z7" i="6" s="1"/>
  <c r="V21" i="2"/>
  <c r="H21" i="6"/>
  <c r="V13" i="2"/>
  <c r="H13" i="6"/>
  <c r="N13" i="6" s="1"/>
  <c r="O13" i="6" s="1"/>
  <c r="V29" i="2"/>
  <c r="W29" i="2" s="1"/>
  <c r="Y29" i="2" s="1"/>
  <c r="H29" i="6"/>
  <c r="X22" i="6"/>
  <c r="P22" i="2"/>
  <c r="H22" i="6"/>
  <c r="N22" i="6" s="1"/>
  <c r="Z22" i="6" s="1"/>
  <c r="V16" i="2"/>
  <c r="H16" i="6"/>
  <c r="V32" i="2"/>
  <c r="X32" i="2" s="1"/>
  <c r="H32" i="6"/>
  <c r="X30" i="6"/>
  <c r="X29" i="6"/>
  <c r="V30" i="2"/>
  <c r="X30" i="2" s="1"/>
  <c r="H30" i="6"/>
  <c r="V23" i="2"/>
  <c r="H23" i="6"/>
  <c r="V6" i="2"/>
  <c r="H6" i="6"/>
  <c r="N6" i="6" s="1"/>
  <c r="Y6" i="6"/>
  <c r="X22" i="2"/>
  <c r="W22" i="2"/>
  <c r="Y22" i="2" s="1"/>
  <c r="P21" i="2"/>
  <c r="P6" i="2"/>
  <c r="P32" i="2"/>
  <c r="V26" i="2"/>
  <c r="W26" i="2" s="1"/>
  <c r="Y26" i="2" s="1"/>
  <c r="P26" i="2"/>
  <c r="P7" i="2"/>
  <c r="X55" i="2"/>
  <c r="X61" i="2"/>
  <c r="X75" i="2"/>
  <c r="P75" i="2"/>
  <c r="W86" i="2"/>
  <c r="Y86" i="2" s="1"/>
  <c r="W64" i="2"/>
  <c r="Y64" i="2" s="1"/>
  <c r="X64" i="2"/>
  <c r="O95" i="2"/>
  <c r="P90" i="2"/>
  <c r="P95" i="2" s="1"/>
  <c r="X79" i="2"/>
  <c r="Y54" i="2"/>
  <c r="W80" i="2"/>
  <c r="Y80" i="2" s="1"/>
  <c r="P80" i="2"/>
  <c r="P70" i="2"/>
  <c r="P61" i="2"/>
  <c r="W74" i="2"/>
  <c r="Y74" i="2" s="1"/>
  <c r="P74" i="2"/>
  <c r="W77" i="2"/>
  <c r="Y77" i="2" s="1"/>
  <c r="X77" i="2"/>
  <c r="P86" i="2"/>
  <c r="W78" i="2"/>
  <c r="Y78" i="2" s="1"/>
  <c r="P78" i="2"/>
  <c r="X69" i="2"/>
  <c r="P69" i="2"/>
  <c r="X81" i="2"/>
  <c r="W81" i="2"/>
  <c r="Y81" i="2" s="1"/>
  <c r="P54" i="2"/>
  <c r="V31" i="2"/>
  <c r="W31" i="2" s="1"/>
  <c r="Y31" i="2" s="1"/>
  <c r="P31" i="2"/>
  <c r="U39" i="2"/>
  <c r="P13" i="2"/>
  <c r="P46" i="2"/>
  <c r="W47" i="2" s="1"/>
  <c r="P30" i="2"/>
  <c r="P25" i="2"/>
  <c r="V27" i="2"/>
  <c r="X27" i="2" s="1"/>
  <c r="P27" i="2"/>
  <c r="V38" i="2"/>
  <c r="W38" i="2" s="1"/>
  <c r="Y38" i="2" s="1"/>
  <c r="P38" i="2"/>
  <c r="Y5" i="2"/>
  <c r="P29" i="2"/>
  <c r="P23" i="2"/>
  <c r="P16" i="2"/>
  <c r="G103" i="1"/>
  <c r="G104" i="1" s="1"/>
  <c r="G94" i="1" s="1"/>
  <c r="F103" i="1"/>
  <c r="E103" i="1"/>
  <c r="D103" i="1"/>
  <c r="D104" i="1" s="1"/>
  <c r="D94" i="1" s="1"/>
  <c r="C103" i="1"/>
  <c r="C104" i="1" s="1"/>
  <c r="G95" i="1"/>
  <c r="F95" i="1"/>
  <c r="E95" i="1"/>
  <c r="D95" i="1"/>
  <c r="C95" i="1"/>
  <c r="G93" i="1"/>
  <c r="F93" i="1"/>
  <c r="E93" i="1"/>
  <c r="H92" i="1"/>
  <c r="C92" i="1"/>
  <c r="G81" i="1"/>
  <c r="F81" i="1"/>
  <c r="E81" i="1"/>
  <c r="D81" i="1"/>
  <c r="C81" i="1"/>
  <c r="G80" i="1"/>
  <c r="F80" i="1"/>
  <c r="E80" i="1"/>
  <c r="D80" i="1"/>
  <c r="C80" i="1"/>
  <c r="G79" i="1"/>
  <c r="F79" i="1"/>
  <c r="E79" i="1"/>
  <c r="D79" i="1"/>
  <c r="C79" i="1"/>
  <c r="G78" i="1"/>
  <c r="F78" i="1"/>
  <c r="E78" i="1"/>
  <c r="D78" i="1"/>
  <c r="C78" i="1"/>
  <c r="G75" i="1"/>
  <c r="F75" i="1"/>
  <c r="E75" i="1"/>
  <c r="D75" i="1"/>
  <c r="C75" i="1"/>
  <c r="G74" i="1"/>
  <c r="F74" i="1"/>
  <c r="E74" i="1"/>
  <c r="D74" i="1"/>
  <c r="C74" i="1"/>
  <c r="G73" i="1"/>
  <c r="F73" i="1"/>
  <c r="E73" i="1"/>
  <c r="D73" i="1"/>
  <c r="C73" i="1"/>
  <c r="G72" i="1"/>
  <c r="F72" i="1"/>
  <c r="E72" i="1"/>
  <c r="D72" i="1"/>
  <c r="C72" i="1"/>
  <c r="G71" i="1"/>
  <c r="F71" i="1"/>
  <c r="E71" i="1"/>
  <c r="D71" i="1"/>
  <c r="C71" i="1"/>
  <c r="G70" i="1"/>
  <c r="F70" i="1"/>
  <c r="E70" i="1"/>
  <c r="D70" i="1"/>
  <c r="C70" i="1"/>
  <c r="G64" i="1"/>
  <c r="F64" i="1"/>
  <c r="E64" i="1"/>
  <c r="D64" i="1"/>
  <c r="C64" i="1"/>
  <c r="G63" i="1"/>
  <c r="F63" i="1"/>
  <c r="E63" i="1"/>
  <c r="D63" i="1"/>
  <c r="C63" i="1"/>
  <c r="G62" i="1"/>
  <c r="F62" i="1"/>
  <c r="E62" i="1"/>
  <c r="D62" i="1"/>
  <c r="C62" i="1"/>
  <c r="G61" i="1"/>
  <c r="F61" i="1"/>
  <c r="E61" i="1"/>
  <c r="D61" i="1"/>
  <c r="C61" i="1"/>
  <c r="G58" i="1"/>
  <c r="F58" i="1"/>
  <c r="E58" i="1"/>
  <c r="D58" i="1"/>
  <c r="C58" i="1"/>
  <c r="G57" i="1"/>
  <c r="F57" i="1"/>
  <c r="E57" i="1"/>
  <c r="D57" i="1"/>
  <c r="C57" i="1"/>
  <c r="G56" i="1"/>
  <c r="F56" i="1"/>
  <c r="E56" i="1"/>
  <c r="D56" i="1"/>
  <c r="C56" i="1"/>
  <c r="G55" i="1"/>
  <c r="F55" i="1"/>
  <c r="E55" i="1"/>
  <c r="D55" i="1"/>
  <c r="C55" i="1"/>
  <c r="G54" i="1"/>
  <c r="F54" i="1"/>
  <c r="E54" i="1"/>
  <c r="D54" i="1"/>
  <c r="C54" i="1"/>
  <c r="G53" i="1"/>
  <c r="F53" i="1"/>
  <c r="E53" i="1"/>
  <c r="D53" i="1"/>
  <c r="C53" i="1"/>
  <c r="G46" i="1"/>
  <c r="F46" i="1"/>
  <c r="E46" i="1"/>
  <c r="D46" i="1"/>
  <c r="C46" i="1"/>
  <c r="G45" i="1"/>
  <c r="F45" i="1"/>
  <c r="C45" i="1"/>
  <c r="G44" i="1"/>
  <c r="F44" i="1"/>
  <c r="E44" i="1"/>
  <c r="D44" i="1"/>
  <c r="C44" i="1"/>
  <c r="G43" i="1"/>
  <c r="F43" i="1"/>
  <c r="E43" i="1"/>
  <c r="D43" i="1"/>
  <c r="C43" i="1"/>
  <c r="G42" i="1"/>
  <c r="F42" i="1"/>
  <c r="E42" i="1"/>
  <c r="C42" i="1"/>
  <c r="G41" i="1"/>
  <c r="F41" i="1"/>
  <c r="E41" i="1"/>
  <c r="D41" i="1"/>
  <c r="C41" i="1"/>
  <c r="G37" i="1"/>
  <c r="F37" i="1"/>
  <c r="E37" i="1"/>
  <c r="D37" i="1"/>
  <c r="C37" i="1"/>
  <c r="H36" i="1"/>
  <c r="H35" i="1"/>
  <c r="H34" i="1"/>
  <c r="H33" i="1"/>
  <c r="C30" i="1"/>
  <c r="H29" i="1"/>
  <c r="H28" i="1"/>
  <c r="H27" i="1"/>
  <c r="H26" i="1"/>
  <c r="H25" i="1"/>
  <c r="F24" i="1"/>
  <c r="H24" i="1" s="1"/>
  <c r="H23" i="1"/>
  <c r="H22" i="1"/>
  <c r="H19" i="1"/>
  <c r="E18" i="1"/>
  <c r="F18" i="1" s="1"/>
  <c r="H17" i="1"/>
  <c r="H16" i="1"/>
  <c r="H15" i="1"/>
  <c r="D14" i="1"/>
  <c r="D45" i="1" s="1"/>
  <c r="H13" i="1"/>
  <c r="G12" i="1"/>
  <c r="H11" i="1"/>
  <c r="H10" i="1"/>
  <c r="H9" i="1"/>
  <c r="H8" i="1"/>
  <c r="H7" i="1"/>
  <c r="H6" i="1"/>
  <c r="D5" i="1"/>
  <c r="D42" i="1" s="1"/>
  <c r="F3" i="1"/>
  <c r="C175" i="2" l="1"/>
  <c r="C184" i="2" s="1"/>
  <c r="C185" i="2" s="1"/>
  <c r="T8" i="6"/>
  <c r="Z8" i="6" s="1"/>
  <c r="AA8" i="6" s="1"/>
  <c r="V95" i="2"/>
  <c r="W92" i="2"/>
  <c r="W95" i="2" s="1"/>
  <c r="X53" i="6"/>
  <c r="X52" i="6"/>
  <c r="E179" i="2"/>
  <c r="E182" i="2" s="1"/>
  <c r="E184" i="2" s="1"/>
  <c r="E185" i="2" s="1"/>
  <c r="N51" i="6"/>
  <c r="Z48" i="6"/>
  <c r="Z51" i="6" s="1"/>
  <c r="W52" i="6"/>
  <c r="W53" i="6"/>
  <c r="Y48" i="6"/>
  <c r="Y51" i="6" s="1"/>
  <c r="AA51" i="6" s="1"/>
  <c r="M51" i="6"/>
  <c r="O48" i="6"/>
  <c r="U48" i="6"/>
  <c r="D182" i="2"/>
  <c r="X13" i="2"/>
  <c r="X21" i="2"/>
  <c r="W32" i="2"/>
  <c r="Y32" i="2" s="1"/>
  <c r="V41" i="6"/>
  <c r="V55" i="6"/>
  <c r="V57" i="6" s="1"/>
  <c r="X7" i="2"/>
  <c r="T10" i="6"/>
  <c r="U10" i="6" s="1"/>
  <c r="U8" i="6"/>
  <c r="O22" i="6"/>
  <c r="I31" i="6"/>
  <c r="N31" i="6"/>
  <c r="I15" i="6"/>
  <c r="N15" i="6"/>
  <c r="I30" i="6"/>
  <c r="N30" i="6"/>
  <c r="I29" i="6"/>
  <c r="N29" i="6"/>
  <c r="I25" i="6"/>
  <c r="N25" i="6"/>
  <c r="Z25" i="6" s="1"/>
  <c r="I32" i="6"/>
  <c r="N32" i="6"/>
  <c r="Z13" i="6"/>
  <c r="AA13" i="6" s="1"/>
  <c r="X29" i="2"/>
  <c r="I21" i="6"/>
  <c r="N21" i="6"/>
  <c r="I23" i="6"/>
  <c r="N23" i="6"/>
  <c r="I16" i="6"/>
  <c r="N16" i="6"/>
  <c r="I27" i="6"/>
  <c r="N27" i="6"/>
  <c r="H20" i="6"/>
  <c r="N18" i="6"/>
  <c r="N20" i="6" s="1"/>
  <c r="P66" i="2"/>
  <c r="N14" i="6"/>
  <c r="O14" i="6" s="1"/>
  <c r="N10" i="6"/>
  <c r="I38" i="6"/>
  <c r="N38" i="6"/>
  <c r="Z38" i="6" s="1"/>
  <c r="Z37" i="6"/>
  <c r="AA37" i="6" s="1"/>
  <c r="O37" i="6"/>
  <c r="I26" i="6"/>
  <c r="W21" i="2"/>
  <c r="Y21" i="2" s="1"/>
  <c r="O63" i="2"/>
  <c r="U63" i="2"/>
  <c r="S15" i="6"/>
  <c r="R17" i="6"/>
  <c r="X15" i="6"/>
  <c r="W23" i="2"/>
  <c r="Y23" i="2" s="1"/>
  <c r="W30" i="2"/>
  <c r="Y30" i="2" s="1"/>
  <c r="X25" i="2"/>
  <c r="X23" i="2"/>
  <c r="V15" i="2"/>
  <c r="P15" i="2"/>
  <c r="W16" i="2"/>
  <c r="Y16" i="2" s="1"/>
  <c r="H17" i="6"/>
  <c r="I17" i="6" s="1"/>
  <c r="I5" i="6"/>
  <c r="O39" i="2"/>
  <c r="X5" i="6"/>
  <c r="L10" i="6"/>
  <c r="M5" i="6"/>
  <c r="O5" i="6" s="1"/>
  <c r="G10" i="6"/>
  <c r="W10" i="6"/>
  <c r="W39" i="6" s="1"/>
  <c r="K39" i="6"/>
  <c r="K55" i="6" s="1"/>
  <c r="P18" i="2"/>
  <c r="Y25" i="6"/>
  <c r="Y26" i="6"/>
  <c r="AA26" i="6" s="1"/>
  <c r="O26" i="6"/>
  <c r="X18" i="6"/>
  <c r="L20" i="6"/>
  <c r="X20" i="6" s="1"/>
  <c r="Y38" i="6"/>
  <c r="F39" i="6"/>
  <c r="F55" i="6" s="1"/>
  <c r="G20" i="6"/>
  <c r="M18" i="6"/>
  <c r="I18" i="6"/>
  <c r="P5" i="2"/>
  <c r="T18" i="6"/>
  <c r="U5" i="6"/>
  <c r="Z5" i="6"/>
  <c r="I7" i="6"/>
  <c r="W13" i="2"/>
  <c r="Y13" i="2" s="1"/>
  <c r="W7" i="2"/>
  <c r="Y7" i="2" s="1"/>
  <c r="H24" i="6"/>
  <c r="I24" i="6" s="1"/>
  <c r="I22" i="6"/>
  <c r="H14" i="6"/>
  <c r="I14" i="6" s="1"/>
  <c r="I13" i="6"/>
  <c r="Y22" i="6"/>
  <c r="AA22" i="6" s="1"/>
  <c r="M24" i="6"/>
  <c r="X16" i="2"/>
  <c r="W6" i="2"/>
  <c r="Y6" i="2" s="1"/>
  <c r="X6" i="2"/>
  <c r="H10" i="6"/>
  <c r="I6" i="6"/>
  <c r="X38" i="2"/>
  <c r="X26" i="2"/>
  <c r="X31" i="2"/>
  <c r="X80" i="2"/>
  <c r="W75" i="2"/>
  <c r="Y75" i="2" s="1"/>
  <c r="X78" i="2"/>
  <c r="W69" i="2"/>
  <c r="Y69" i="2" s="1"/>
  <c r="W70" i="2"/>
  <c r="Y70" i="2" s="1"/>
  <c r="X70" i="2"/>
  <c r="P53" i="2"/>
  <c r="W27" i="2"/>
  <c r="Y27" i="2" s="1"/>
  <c r="G47" i="1"/>
  <c r="D82" i="1"/>
  <c r="D97" i="1"/>
  <c r="H37" i="1"/>
  <c r="F47" i="1"/>
  <c r="H44" i="1"/>
  <c r="H46" i="1"/>
  <c r="C59" i="1"/>
  <c r="G59" i="1"/>
  <c r="H56" i="1"/>
  <c r="E65" i="1"/>
  <c r="E105" i="1" s="1"/>
  <c r="H62" i="1"/>
  <c r="E76" i="1"/>
  <c r="H71" i="1"/>
  <c r="H75" i="1"/>
  <c r="C82" i="1"/>
  <c r="G82" i="1"/>
  <c r="H81" i="1"/>
  <c r="C97" i="1"/>
  <c r="G97" i="1"/>
  <c r="H57" i="1"/>
  <c r="H63" i="1"/>
  <c r="F76" i="1"/>
  <c r="D47" i="1"/>
  <c r="E59" i="1"/>
  <c r="H54" i="1"/>
  <c r="H58" i="1"/>
  <c r="C65" i="1"/>
  <c r="C105" i="1" s="1"/>
  <c r="G65" i="1"/>
  <c r="G105" i="1" s="1"/>
  <c r="H64" i="1"/>
  <c r="C76" i="1"/>
  <c r="G76" i="1"/>
  <c r="H73" i="1"/>
  <c r="E82" i="1"/>
  <c r="H79" i="1"/>
  <c r="H93" i="1"/>
  <c r="E14" i="1"/>
  <c r="E45" i="1" s="1"/>
  <c r="H45" i="1" s="1"/>
  <c r="C47" i="1"/>
  <c r="D59" i="1"/>
  <c r="F65" i="1"/>
  <c r="F105" i="1" s="1"/>
  <c r="H72" i="1"/>
  <c r="H42" i="1"/>
  <c r="H43" i="1"/>
  <c r="F59" i="1"/>
  <c r="H55" i="1"/>
  <c r="D65" i="1"/>
  <c r="D105" i="1" s="1"/>
  <c r="D76" i="1"/>
  <c r="H74" i="1"/>
  <c r="F82" i="1"/>
  <c r="H80" i="1"/>
  <c r="H95" i="1"/>
  <c r="G18" i="1"/>
  <c r="G30" i="1" s="1"/>
  <c r="C31" i="1" s="1"/>
  <c r="F30" i="1"/>
  <c r="D30" i="1"/>
  <c r="D31" i="1" s="1"/>
  <c r="H53" i="1"/>
  <c r="H61" i="1"/>
  <c r="E104" i="1"/>
  <c r="E94" i="1" s="1"/>
  <c r="H12" i="1"/>
  <c r="E30" i="1"/>
  <c r="H41" i="1"/>
  <c r="H78" i="1"/>
  <c r="F104" i="1"/>
  <c r="F94" i="1" s="1"/>
  <c r="F97" i="1" s="1"/>
  <c r="H5" i="1"/>
  <c r="H70" i="1"/>
  <c r="E84" i="1" l="1"/>
  <c r="E85" i="1" s="1"/>
  <c r="G84" i="1"/>
  <c r="G85" i="1" s="1"/>
  <c r="E47" i="1"/>
  <c r="O51" i="6"/>
  <c r="F179" i="2"/>
  <c r="D184" i="2"/>
  <c r="Y52" i="6"/>
  <c r="Y53" i="6"/>
  <c r="AA48" i="6"/>
  <c r="Z53" i="6"/>
  <c r="Z52" i="6"/>
  <c r="O25" i="6"/>
  <c r="W40" i="6"/>
  <c r="W41" i="6"/>
  <c r="W55" i="6"/>
  <c r="AA25" i="6"/>
  <c r="X15" i="2"/>
  <c r="V39" i="2"/>
  <c r="X39" i="2" s="1"/>
  <c r="I20" i="6"/>
  <c r="W15" i="2"/>
  <c r="Y15" i="2" s="1"/>
  <c r="Z14" i="6"/>
  <c r="AA14" i="6" s="1"/>
  <c r="O23" i="6"/>
  <c r="Z23" i="6"/>
  <c r="AA23" i="6" s="1"/>
  <c r="Z32" i="6"/>
  <c r="AA32" i="6" s="1"/>
  <c r="O32" i="6"/>
  <c r="O29" i="6"/>
  <c r="Z29" i="6"/>
  <c r="AA29" i="6" s="1"/>
  <c r="O30" i="6"/>
  <c r="Z30" i="6"/>
  <c r="AA30" i="6" s="1"/>
  <c r="O27" i="6"/>
  <c r="Z27" i="6"/>
  <c r="AA27" i="6" s="1"/>
  <c r="N17" i="6"/>
  <c r="O17" i="6" s="1"/>
  <c r="O15" i="6"/>
  <c r="N24" i="6"/>
  <c r="Z24" i="6" s="1"/>
  <c r="O21" i="6"/>
  <c r="Z21" i="6"/>
  <c r="AA21" i="6" s="1"/>
  <c r="Z31" i="6"/>
  <c r="AA31" i="6" s="1"/>
  <c r="O31" i="6"/>
  <c r="O16" i="6"/>
  <c r="Z16" i="6"/>
  <c r="AA16" i="6" s="1"/>
  <c r="C84" i="1"/>
  <c r="C85" i="1" s="1"/>
  <c r="O38" i="6"/>
  <c r="AA38" i="6"/>
  <c r="R39" i="6"/>
  <c r="R55" i="6" s="1"/>
  <c r="X17" i="6"/>
  <c r="V63" i="2"/>
  <c r="V87" i="2" s="1"/>
  <c r="T15" i="6"/>
  <c r="U15" i="6" s="1"/>
  <c r="O87" i="2"/>
  <c r="P63" i="2"/>
  <c r="P87" i="2" s="1"/>
  <c r="S17" i="6"/>
  <c r="Y15" i="6"/>
  <c r="U87" i="2"/>
  <c r="P39" i="2"/>
  <c r="G39" i="6"/>
  <c r="G55" i="6" s="1"/>
  <c r="T20" i="6"/>
  <c r="Z18" i="6"/>
  <c r="U18" i="6"/>
  <c r="Y5" i="6"/>
  <c r="AA5" i="6" s="1"/>
  <c r="M10" i="6"/>
  <c r="X10" i="6"/>
  <c r="L39" i="6"/>
  <c r="L55" i="6" s="1"/>
  <c r="M20" i="6"/>
  <c r="Y18" i="6"/>
  <c r="O18" i="6"/>
  <c r="AA7" i="6"/>
  <c r="O7" i="6"/>
  <c r="Y24" i="6"/>
  <c r="H39" i="6"/>
  <c r="H55" i="6" s="1"/>
  <c r="I10" i="6"/>
  <c r="Z6" i="6"/>
  <c r="AA6" i="6" s="1"/>
  <c r="O6" i="6"/>
  <c r="D84" i="1"/>
  <c r="D85" i="1" s="1"/>
  <c r="W39" i="2"/>
  <c r="H76" i="1"/>
  <c r="H65" i="1"/>
  <c r="H18" i="1"/>
  <c r="H47" i="1"/>
  <c r="H82" i="1"/>
  <c r="F84" i="1"/>
  <c r="F85" i="1" s="1"/>
  <c r="G31" i="1"/>
  <c r="H14" i="1"/>
  <c r="H94" i="1"/>
  <c r="H97" i="1" s="1"/>
  <c r="E97" i="1"/>
  <c r="H59" i="1"/>
  <c r="F31" i="1"/>
  <c r="E31" i="1"/>
  <c r="G179" i="2" l="1"/>
  <c r="G182" i="2" s="1"/>
  <c r="G184" i="2" s="1"/>
  <c r="G185" i="2" s="1"/>
  <c r="F182" i="2"/>
  <c r="D185" i="2"/>
  <c r="I55" i="6"/>
  <c r="AA24" i="6"/>
  <c r="W57" i="6"/>
  <c r="W56" i="6"/>
  <c r="O24" i="6"/>
  <c r="X39" i="6"/>
  <c r="X63" i="2"/>
  <c r="W63" i="2"/>
  <c r="Y63" i="2" s="1"/>
  <c r="Y17" i="6"/>
  <c r="S39" i="6"/>
  <c r="S55" i="6" s="1"/>
  <c r="T17" i="6"/>
  <c r="T39" i="6" s="1"/>
  <c r="T55" i="6" s="1"/>
  <c r="Z15" i="6"/>
  <c r="AA15" i="6" s="1"/>
  <c r="W40" i="2"/>
  <c r="AA18" i="6"/>
  <c r="I39" i="6"/>
  <c r="M39" i="6"/>
  <c r="M55" i="6" s="1"/>
  <c r="Y10" i="6"/>
  <c r="Y20" i="6"/>
  <c r="O20" i="6"/>
  <c r="U20" i="6"/>
  <c r="Z20" i="6"/>
  <c r="N39" i="6"/>
  <c r="N55" i="6" s="1"/>
  <c r="Z10" i="6"/>
  <c r="O10" i="6"/>
  <c r="H30" i="1"/>
  <c r="H84" i="1"/>
  <c r="H85" i="1" s="1"/>
  <c r="H179" i="2" l="1"/>
  <c r="F184" i="2"/>
  <c r="H182" i="2"/>
  <c r="O55" i="6"/>
  <c r="U55" i="6"/>
  <c r="X41" i="6"/>
  <c r="X40" i="6"/>
  <c r="X55" i="6"/>
  <c r="W87" i="2"/>
  <c r="W88" i="2" s="1"/>
  <c r="U39" i="6"/>
  <c r="U17" i="6"/>
  <c r="Z17" i="6"/>
  <c r="AA17" i="6" s="1"/>
  <c r="Y39" i="6"/>
  <c r="O39" i="6"/>
  <c r="AA20" i="6"/>
  <c r="AA10" i="6"/>
  <c r="F185" i="2" l="1"/>
  <c r="H184" i="2"/>
  <c r="H185" i="2" s="1"/>
  <c r="Y41" i="6"/>
  <c r="Y40" i="6"/>
  <c r="Y55" i="6"/>
  <c r="X56" i="6"/>
  <c r="X57" i="6"/>
  <c r="Z39" i="6"/>
  <c r="A12" i="2"/>
  <c r="A13" i="2" s="1"/>
  <c r="Z55" i="6" l="1"/>
  <c r="Z41" i="6"/>
  <c r="Z40" i="6"/>
  <c r="Y57" i="6"/>
  <c r="Y56" i="6"/>
  <c r="AA39" i="6"/>
  <c r="A15" i="2"/>
  <c r="A16" i="2" s="1"/>
  <c r="Z57" i="6" l="1"/>
  <c r="Z56" i="6"/>
  <c r="AA55" i="6"/>
  <c r="A18" i="2"/>
  <c r="A21" i="2" l="1"/>
  <c r="A22" i="2" s="1"/>
  <c r="A23" i="2" s="1"/>
  <c r="A25" i="2" l="1"/>
  <c r="A26" i="2" s="1"/>
  <c r="A27" i="2" s="1"/>
  <c r="A28" i="2" s="1"/>
  <c r="A29" i="2" s="1"/>
  <c r="A30" i="2" s="1"/>
  <c r="A31" i="2" s="1"/>
  <c r="A32" i="2" s="1"/>
  <c r="A33" i="2" s="1"/>
  <c r="A34" i="2" s="1"/>
  <c r="A35" i="2" s="1"/>
  <c r="A36" i="2" s="1"/>
  <c r="A37" i="2" s="1"/>
  <c r="A38" i="2" s="1"/>
</calcChain>
</file>

<file path=xl/sharedStrings.xml><?xml version="1.0" encoding="utf-8"?>
<sst xmlns="http://schemas.openxmlformats.org/spreadsheetml/2006/main" count="843" uniqueCount="364">
  <si>
    <t>2014-15</t>
  </si>
  <si>
    <t>2015-16</t>
  </si>
  <si>
    <t>2016-17</t>
  </si>
  <si>
    <t>2017-18</t>
  </si>
  <si>
    <t>2018-19</t>
  </si>
  <si>
    <t>Total</t>
  </si>
  <si>
    <t>Milho</t>
  </si>
  <si>
    <t>Mapira</t>
  </si>
  <si>
    <t>Mexoeira</t>
  </si>
  <si>
    <t>Trigo</t>
  </si>
  <si>
    <t>Arroz</t>
  </si>
  <si>
    <r>
      <t>Feij</t>
    </r>
    <r>
      <rPr>
        <sz val="12"/>
        <color indexed="8"/>
        <rFont val="Avenir Next Regular"/>
      </rPr>
      <t>ões</t>
    </r>
  </si>
  <si>
    <t>Amendoim</t>
  </si>
  <si>
    <t>Mandioca</t>
  </si>
  <si>
    <t>Batata doce</t>
  </si>
  <si>
    <t>Gergelim</t>
  </si>
  <si>
    <t>Soja</t>
  </si>
  <si>
    <t>Girassol</t>
  </si>
  <si>
    <t>Tomate</t>
  </si>
  <si>
    <t>Cebola</t>
  </si>
  <si>
    <t>Outras Hortícolas</t>
  </si>
  <si>
    <t>Sisal</t>
  </si>
  <si>
    <t>Cha</t>
  </si>
  <si>
    <t>Algodāo</t>
  </si>
  <si>
    <r>
      <t>Macad</t>
    </r>
    <r>
      <rPr>
        <sz val="12"/>
        <color indexed="8"/>
        <rFont val="Avenir Next Regular"/>
      </rPr>
      <t>âmia</t>
    </r>
  </si>
  <si>
    <t>Castanha de caju</t>
  </si>
  <si>
    <t>Tabaco</t>
  </si>
  <si>
    <t>Citrinos</t>
  </si>
  <si>
    <t>Batata reno</t>
  </si>
  <si>
    <t>Banana</t>
  </si>
  <si>
    <t>Cana de açúcar</t>
  </si>
  <si>
    <t>Sub Total</t>
  </si>
  <si>
    <t>Bovino</t>
  </si>
  <si>
    <t>Caprino</t>
  </si>
  <si>
    <t>Suíno</t>
  </si>
  <si>
    <t>Avicultura</t>
  </si>
  <si>
    <t>Sub total</t>
  </si>
  <si>
    <t>Feijões</t>
  </si>
  <si>
    <t>Impacto na Produção  - Projecção (t)</t>
  </si>
  <si>
    <t>2019-20</t>
  </si>
  <si>
    <t>2020-21</t>
  </si>
  <si>
    <t>2021-22</t>
  </si>
  <si>
    <t>2022-23</t>
  </si>
  <si>
    <t>2023-24</t>
  </si>
  <si>
    <t>Valor da Produção  (Mt)  - Projecção</t>
  </si>
  <si>
    <t>Sub Total Culturas</t>
  </si>
  <si>
    <t>Sub total Pecuaria</t>
  </si>
  <si>
    <t>Novos Empregos</t>
  </si>
  <si>
    <t>Emprego Directo na Produção</t>
  </si>
  <si>
    <t>Emprego na Industria</t>
  </si>
  <si>
    <t>Emprego na Logistica</t>
  </si>
  <si>
    <t>Emprego Indirecto na Cadeia Produtiva</t>
  </si>
  <si>
    <t>Programa de Acção Social Produtiva</t>
  </si>
  <si>
    <t>Impacto na Logistica</t>
  </si>
  <si>
    <t>Nr de fretes ( Camião 30 t)</t>
  </si>
  <si>
    <t>Nr de fretes ( Camião &lt;10 t)</t>
  </si>
  <si>
    <t>Nr de frete REF (Camião de 30t)</t>
  </si>
  <si>
    <t>2020</t>
  </si>
  <si>
    <t>2021</t>
  </si>
  <si>
    <t>2022</t>
  </si>
  <si>
    <t>2023</t>
  </si>
  <si>
    <t>2024</t>
  </si>
  <si>
    <t>Balança Comercial</t>
  </si>
  <si>
    <t>Importação</t>
  </si>
  <si>
    <t>Exportação</t>
  </si>
  <si>
    <t>Plano de Produção</t>
  </si>
  <si>
    <t>Receitas por Cultura (Mt)</t>
  </si>
  <si>
    <t>Area Media por Familia (ha)</t>
  </si>
  <si>
    <t>Receita por Familia (Mt)</t>
  </si>
  <si>
    <t>Custo de Insumos (Mt)</t>
  </si>
  <si>
    <t>Lucro por Familia (Mt)</t>
  </si>
  <si>
    <t>% Linha de Base</t>
  </si>
  <si>
    <t>Gergelim + Milho + Feijões</t>
  </si>
  <si>
    <t>Soja + Milho + Feijões</t>
  </si>
  <si>
    <t>Girassol+ Milho + Feijões</t>
  </si>
  <si>
    <t>Arroz + Feijões</t>
  </si>
  <si>
    <t>Tabaco + Milho + Soja</t>
  </si>
  <si>
    <t>Receitas por Fonte (Mt)</t>
  </si>
  <si>
    <t>Frango Corte</t>
  </si>
  <si>
    <t>Ovos</t>
  </si>
  <si>
    <t>F. Nhemba</t>
  </si>
  <si>
    <t>Bovino + Ag. Sequeiro</t>
  </si>
  <si>
    <t>Bovino + Caprino + Ag. Sequeiro</t>
  </si>
  <si>
    <t>Caprino + Ag. Sequeiro</t>
  </si>
  <si>
    <t>Frango de Corte</t>
  </si>
  <si>
    <t>Dados Históricos - últimos 5 anos</t>
  </si>
  <si>
    <t>Taxa de Crescimento Média</t>
  </si>
  <si>
    <t>TOTAL</t>
  </si>
  <si>
    <t>Taxa Média de Crescimento</t>
  </si>
  <si>
    <t>Projecção da Produção S/ Intensificação - 2020 - 2024</t>
  </si>
  <si>
    <t>Projecção da Produção C/ Intensificação - 2020 - 2024</t>
  </si>
  <si>
    <r>
      <t>Feij</t>
    </r>
    <r>
      <rPr>
        <b/>
        <sz val="12"/>
        <color indexed="8"/>
        <rFont val="Avenir Next Regular"/>
      </rPr>
      <t>ões</t>
    </r>
  </si>
  <si>
    <r>
      <t>Macad</t>
    </r>
    <r>
      <rPr>
        <b/>
        <sz val="12"/>
        <color indexed="8"/>
        <rFont val="Avenir Next Regular"/>
      </rPr>
      <t>âmia</t>
    </r>
  </si>
  <si>
    <t>PRODUÇÃO</t>
  </si>
  <si>
    <t>N/A</t>
  </si>
  <si>
    <t>AREA (ha)</t>
  </si>
  <si>
    <t>Amendoa de Caju</t>
  </si>
  <si>
    <t>Papaia</t>
  </si>
  <si>
    <t xml:space="preserve">Abacate </t>
  </si>
  <si>
    <t>Litchies</t>
  </si>
  <si>
    <t>CUSTOS DE PRODUÇÃO - BASE 2019/20 (Mt/ha)</t>
  </si>
  <si>
    <t>Milho C/ Intensificação</t>
  </si>
  <si>
    <t>Arroz C/ Intensificação</t>
  </si>
  <si>
    <r>
      <t>Feij</t>
    </r>
    <r>
      <rPr>
        <b/>
        <sz val="12"/>
        <color indexed="8"/>
        <rFont val="Avenir Next Regular"/>
      </rPr>
      <t>ões</t>
    </r>
    <r>
      <rPr>
        <b/>
        <sz val="11"/>
        <color theme="1"/>
        <rFont val="Avenir Next Regular"/>
      </rPr>
      <t xml:space="preserve"> C/ Intensificação</t>
    </r>
  </si>
  <si>
    <t>Soja C/ Intensificação</t>
  </si>
  <si>
    <t>Gergelim C/ Intensificação</t>
  </si>
  <si>
    <t>Girassol C/ Intensificação</t>
  </si>
  <si>
    <t>Semeiteira</t>
  </si>
  <si>
    <t>Produtos Fitossanitários</t>
  </si>
  <si>
    <t>Fertilizantes</t>
  </si>
  <si>
    <t>Rega</t>
  </si>
  <si>
    <t>Colheita</t>
  </si>
  <si>
    <t>Custo por Cultura  (Mt/ha)</t>
  </si>
  <si>
    <t>Culturas</t>
  </si>
  <si>
    <r>
      <t>Prepara</t>
    </r>
    <r>
      <rPr>
        <b/>
        <sz val="10"/>
        <rFont val="Calibri"/>
        <family val="2"/>
      </rPr>
      <t>çã</t>
    </r>
    <r>
      <rPr>
        <b/>
        <sz val="10"/>
        <rFont val="Arial"/>
        <family val="2"/>
      </rPr>
      <t>o do Solo</t>
    </r>
  </si>
  <si>
    <t>Nº de ordem</t>
  </si>
  <si>
    <t>Produtos</t>
  </si>
  <si>
    <t>Taxa de Crescimento(%)</t>
  </si>
  <si>
    <t xml:space="preserve">Total Cereais </t>
  </si>
  <si>
    <r>
      <t>Feij</t>
    </r>
    <r>
      <rPr>
        <sz val="12"/>
        <color indexed="8"/>
        <rFont val="Times New Roman"/>
        <family val="1"/>
      </rPr>
      <t>ões</t>
    </r>
  </si>
  <si>
    <t>T. Leguminosas</t>
  </si>
  <si>
    <t>T. Raizes e Tuberculos</t>
  </si>
  <si>
    <t>Total Oleaginosas</t>
  </si>
  <si>
    <t>Total Hortícolas</t>
  </si>
  <si>
    <r>
      <t>Macad</t>
    </r>
    <r>
      <rPr>
        <sz val="12"/>
        <color indexed="8"/>
        <rFont val="Calibri"/>
        <family val="2"/>
      </rPr>
      <t>â</t>
    </r>
    <r>
      <rPr>
        <sz val="12"/>
        <color indexed="8"/>
        <rFont val="Times New Roman"/>
        <family val="1"/>
      </rPr>
      <t>mia</t>
    </r>
  </si>
  <si>
    <t>Amêndoa de Caju</t>
  </si>
  <si>
    <t>Abacate</t>
  </si>
  <si>
    <t>Litchi</t>
  </si>
  <si>
    <t>Chá</t>
  </si>
  <si>
    <t>PREÇOS (Mt/t)</t>
  </si>
  <si>
    <t>Projecção da Area S/ Intensificação (ha) - 2020 - 2024</t>
  </si>
  <si>
    <t>Projecção da Produção C/ Intensificação (ha) - 2020 - 2024</t>
  </si>
  <si>
    <t>PES</t>
  </si>
  <si>
    <t>EFECTIVOS</t>
  </si>
  <si>
    <t xml:space="preserve">PRESSUPOSTOS PARA O PLANO DE INTESIFICAÇÃO </t>
  </si>
  <si>
    <r>
      <t>11.</t>
    </r>
    <r>
      <rPr>
        <b/>
        <sz val="12"/>
        <color theme="1"/>
        <rFont val="Times New Roman"/>
        <family val="1"/>
      </rPr>
      <t xml:space="preserve">  </t>
    </r>
    <r>
      <rPr>
        <sz val="12"/>
        <color theme="1"/>
        <rFont val="Avenir Next"/>
        <family val="2"/>
      </rPr>
      <t>A sanidade vegetal, animal e medidas de biossegurança, aliados a certificação de qualidade e de origem dos produtos, jogarão o papel preponderante para a segurança na produção e a colocação da oferta gerada pelo plano nos diversos mercados existentes a nível mundial.</t>
    </r>
  </si>
  <si>
    <r>
      <t>1.</t>
    </r>
    <r>
      <rPr>
        <b/>
        <sz val="12"/>
        <color theme="1"/>
        <rFont val="Times New Roman"/>
        <family val="1"/>
      </rPr>
      <t xml:space="preserve">    </t>
    </r>
    <r>
      <rPr>
        <sz val="12"/>
        <color theme="1"/>
        <rFont val="Avenir Next"/>
        <family val="2"/>
      </rPr>
      <t>Cerca de 3,9 milhões de famílias praticam agricultura em regime de sequeiro no seu local de residência, em parcelas de terra em média de 1.1ha. A agricultura familiar em Moçambique representa 98.7% das explorações agrícolas no país.</t>
    </r>
  </si>
  <si>
    <r>
      <t>2.</t>
    </r>
    <r>
      <rPr>
        <b/>
        <sz val="12"/>
        <color theme="1"/>
        <rFont val="Times New Roman"/>
        <family val="1"/>
      </rPr>
      <t xml:space="preserve">    </t>
    </r>
    <r>
      <rPr>
        <sz val="12"/>
        <color theme="1"/>
        <rFont val="Avenir Next"/>
        <family val="2"/>
      </rPr>
      <t xml:space="preserve">Em Moçambique, apenas 4.3% dos agricultores tem acesso aos serviços de extensão rural ou agrária, e cerca de 95% dos agricultores dependem das redes familiares e vizinhança para acesso a novas experiências produtivas. </t>
    </r>
  </si>
  <si>
    <r>
      <t>3.</t>
    </r>
    <r>
      <rPr>
        <b/>
        <sz val="12"/>
        <color theme="1"/>
        <rFont val="Times New Roman"/>
        <family val="1"/>
      </rPr>
      <t xml:space="preserve">    </t>
    </r>
    <r>
      <rPr>
        <sz val="12"/>
        <color theme="1"/>
        <rFont val="Avenir Next"/>
        <family val="2"/>
      </rPr>
      <t>Somente cerca de 4,6% fazem uso de sementes melhoradas, com uma aplicação em média a nível nacional de cerca de 3.7kg/ha de fertilizantes, abaixo da média dos países da África Subsaariana (15 Kg/ha) e muito abaixo da meta da Declaração de Abuja, 50 Kg/ha de fertilizantes. E somente 0,6% tiveram acesso a crédito para produção e 13,6% receberam informação sobre os preços (mercado).</t>
    </r>
  </si>
  <si>
    <r>
      <t>4.</t>
    </r>
    <r>
      <rPr>
        <b/>
        <sz val="12"/>
        <color theme="1"/>
        <rFont val="Times New Roman"/>
        <family val="1"/>
      </rPr>
      <t xml:space="preserve">    </t>
    </r>
    <r>
      <rPr>
        <sz val="12"/>
        <color theme="1"/>
        <rFont val="Avenir Next"/>
        <family val="2"/>
      </rPr>
      <t>Foi considerado um cenário de clima similar ao do presente quinquenio, daí o programa prever abordagens diferentes conforme às 10 Regiões Agroecologicas, não obstante ha consideração das ocorrências das mudanças climáticas;</t>
    </r>
  </si>
  <si>
    <r>
      <t>5.</t>
    </r>
    <r>
      <rPr>
        <b/>
        <sz val="12"/>
        <color theme="1"/>
        <rFont val="Times New Roman"/>
        <family val="1"/>
      </rPr>
      <t xml:space="preserve">    </t>
    </r>
    <r>
      <rPr>
        <sz val="12"/>
        <color theme="1"/>
        <rFont val="Avenir Next"/>
        <family val="2"/>
      </rPr>
      <t>As previsões de áreas de produção agrária apresentadas, são com base nos dados acima indicados, onde irá se fazer uma mudança de abordagem de produção para intensificação com uso de sementes melhorados e certificadas, fertilizantes, assistência técnica onde, espera-se incremento gradual da produtividade e consequentemente da produção. Realçar que o plano exige pelo uso de tecnologias e insumos de qualidade previstas, o aumento de produtividade por hectar e não a expansão das áreas.</t>
    </r>
  </si>
  <si>
    <r>
      <t>6.</t>
    </r>
    <r>
      <rPr>
        <b/>
        <sz val="12"/>
        <color theme="1"/>
        <rFont val="Times New Roman"/>
        <family val="1"/>
      </rPr>
      <t xml:space="preserve">    </t>
    </r>
    <r>
      <rPr>
        <sz val="12"/>
        <color theme="1"/>
        <rFont val="Avenir Next"/>
        <family val="2"/>
      </rPr>
      <t xml:space="preserve">A abordagem assume o ano 2019 como sendo o Ano Base tanto para custos como para preços e não foram considerados os efeitos da inflacção e da variação câmbial. </t>
    </r>
  </si>
  <si>
    <r>
      <t>7.</t>
    </r>
    <r>
      <rPr>
        <b/>
        <sz val="12"/>
        <color theme="1"/>
        <rFont val="Times New Roman"/>
        <family val="1"/>
      </rPr>
      <t xml:space="preserve">    </t>
    </r>
    <r>
      <rPr>
        <sz val="12"/>
        <color theme="1"/>
        <rFont val="Avenir Next"/>
        <family val="2"/>
      </rPr>
      <t>A abordagem prevê igualmente a conversão gradual de produtores de subsistência para produtores familiares orientados integrados nas cadeias de valor.</t>
    </r>
  </si>
  <si>
    <r>
      <t>8.</t>
    </r>
    <r>
      <rPr>
        <b/>
        <sz val="12"/>
        <color theme="1"/>
        <rFont val="Times New Roman"/>
        <family val="1"/>
      </rPr>
      <t xml:space="preserve">      </t>
    </r>
    <r>
      <rPr>
        <sz val="12"/>
        <color theme="1"/>
        <rFont val="Avenir Next"/>
        <family val="2"/>
      </rPr>
      <t>As áreas de produção levadas em consideração no plano, têm como base a taxa de crescimento médio das áreas e volumes de produção de cerca de 3% ano, envolvendo os produtores familiares e semi-comerciais que com a intensificação continuarão obedecendo este padrão, reorientando o foco para as culturas geradoras de renda.</t>
    </r>
  </si>
  <si>
    <r>
      <t>9.</t>
    </r>
    <r>
      <rPr>
        <b/>
        <sz val="12"/>
        <color theme="1"/>
        <rFont val="Times New Roman"/>
        <family val="1"/>
      </rPr>
      <t xml:space="preserve">      </t>
    </r>
    <r>
      <rPr>
        <sz val="12"/>
        <color theme="1"/>
        <rFont val="Avenir Next"/>
        <family val="2"/>
      </rPr>
      <t>A abordagem é centrada em 10 cadeias de valor estratégicas, sendo 6 agrícolas (arroz, milho, feijões, soja, gergelim e girassol) e 4 de pecuária (bovino, caprino, suíno e avicultura) e os produtos e subprodutos destas cadeias representam 46% das importações agrícolas do país.</t>
    </r>
  </si>
  <si>
    <r>
      <t>10.</t>
    </r>
    <r>
      <rPr>
        <b/>
        <sz val="12"/>
        <color theme="1"/>
        <rFont val="Times New Roman"/>
        <family val="1"/>
      </rPr>
      <t xml:space="preserve">  </t>
    </r>
    <r>
      <rPr>
        <sz val="12"/>
        <color theme="1"/>
        <rFont val="Avenir Next"/>
        <family val="2"/>
      </rPr>
      <t>Os resultados esperados são pela ordem de importância o incremento da renda familiar, satisfação do mercado interno e substituição das importações, e geração de divisas por exportação.</t>
    </r>
  </si>
  <si>
    <r>
      <t>12.</t>
    </r>
    <r>
      <rPr>
        <b/>
        <sz val="12"/>
        <color theme="1"/>
        <rFont val="Times New Roman"/>
        <family val="1"/>
      </rPr>
      <t xml:space="preserve">  </t>
    </r>
    <r>
      <rPr>
        <sz val="12"/>
        <color theme="1"/>
        <rFont val="Avenir Next"/>
        <family val="2"/>
      </rPr>
      <t xml:space="preserve">Realce deverá ser dado ao manuseamento pós-colheita que anualmente tem provocado perdas de produção na ordem de 30%, ou seja, cerca de USD 800 milhões por ano e esta é uma das áreas que terão um tratamento especializado com a construção de infraestruturas de armazenagem e que também jogará a favor da comercialização, garantido deste modo a absorção da produção. </t>
    </r>
  </si>
  <si>
    <r>
      <t>13.</t>
    </r>
    <r>
      <rPr>
        <b/>
        <sz val="12"/>
        <color theme="1"/>
        <rFont val="Times New Roman"/>
        <family val="1"/>
      </rPr>
      <t xml:space="preserve">  </t>
    </r>
    <r>
      <rPr>
        <sz val="12"/>
        <color theme="1"/>
        <rFont val="Avenir Next"/>
        <family val="2"/>
      </rPr>
      <t>Outra premissa assumida é o esforço do Governo em assegurar a alocação de 10% do OE ao sector o que vai traduzir-se na assistência técnica adequada, transferência de tecnologia, disponibilização de factores de produção atempadamente, disponibilização de ifra-estruras de comunicação, agro-processamento e mercados.</t>
    </r>
  </si>
  <si>
    <r>
      <t>14.</t>
    </r>
    <r>
      <rPr>
        <b/>
        <sz val="12"/>
        <color theme="1"/>
        <rFont val="Times New Roman"/>
        <family val="1"/>
      </rPr>
      <t xml:space="preserve">  </t>
    </r>
    <r>
      <rPr>
        <sz val="12"/>
        <color theme="1"/>
        <rFont val="Avenir Next"/>
        <family val="2"/>
      </rPr>
      <t>Adicionalmente, espera-se através do funcionamento pleno do Conselho Consultivo do Sector Agrário, mobilizar recursos adicionais junto dos parceiros de cooperação e Sector Privado para suprir o défice e gerar sinergias pelo alinhamento das prioridades entre os vários intervenientes nas várias etapas das cadeias de valor selecionadas.</t>
    </r>
  </si>
  <si>
    <t>Frango</t>
  </si>
  <si>
    <t>Ovos (Dúzia)</t>
  </si>
  <si>
    <t>CUSTOS DE PRODUÇÃO - BASE 2019/20 (Mt/Unidade)</t>
  </si>
  <si>
    <t>Espécie/Produto</t>
  </si>
  <si>
    <t>Material Genético</t>
  </si>
  <si>
    <t>Vacinas</t>
  </si>
  <si>
    <t>Banhos</t>
  </si>
  <si>
    <t>Alimentação</t>
  </si>
  <si>
    <t>Mão de obra</t>
  </si>
  <si>
    <t xml:space="preserve">Bovino </t>
  </si>
  <si>
    <t xml:space="preserve">Caprino </t>
  </si>
  <si>
    <t xml:space="preserve">Suíno </t>
  </si>
  <si>
    <t xml:space="preserve">Ovos </t>
  </si>
  <si>
    <t>Custo por Espécie  (Mt/Unidade)</t>
  </si>
  <si>
    <t>Bovinos</t>
  </si>
  <si>
    <t>Caprinos</t>
  </si>
  <si>
    <t>Suinos</t>
  </si>
  <si>
    <t>Bovino C/ intensificação</t>
  </si>
  <si>
    <t>Caprino C/ intensificação</t>
  </si>
  <si>
    <t>Suíno C/ intensificação</t>
  </si>
  <si>
    <t>Ovos C/ intensificação</t>
  </si>
  <si>
    <t>Frango C/ intensificação</t>
  </si>
  <si>
    <r>
      <t>Feij</t>
    </r>
    <r>
      <rPr>
        <sz val="11"/>
        <color indexed="8"/>
        <rFont val="Avenir next"/>
      </rPr>
      <t>ões</t>
    </r>
  </si>
  <si>
    <r>
      <t>Macad</t>
    </r>
    <r>
      <rPr>
        <sz val="11"/>
        <color indexed="8"/>
        <rFont val="Avenir next"/>
      </rPr>
      <t>âmia</t>
    </r>
  </si>
  <si>
    <t>Preços médios (Mt/t)</t>
  </si>
  <si>
    <t>Produção (t)</t>
  </si>
  <si>
    <t>Valor Acrescentado Bruto (Mt)</t>
  </si>
  <si>
    <t>Consumo Intermédio (Mt)</t>
  </si>
  <si>
    <r>
      <t>Valora</t>
    </r>
    <r>
      <rPr>
        <b/>
        <sz val="11"/>
        <color indexed="8"/>
        <rFont val="Calibri"/>
        <family val="2"/>
      </rPr>
      <t>ção (Mt)</t>
    </r>
  </si>
  <si>
    <t>Preços médios (Mt/t) Base 2014</t>
  </si>
  <si>
    <t>Total Pesca Artesanal</t>
  </si>
  <si>
    <t xml:space="preserve">Lagosta </t>
  </si>
  <si>
    <t>Carangueijo</t>
  </si>
  <si>
    <t>Peixe Marinho</t>
  </si>
  <si>
    <t xml:space="preserve">Peixe de água doce </t>
  </si>
  <si>
    <t xml:space="preserve">Atum e espécies afins </t>
  </si>
  <si>
    <t>Camarão</t>
  </si>
  <si>
    <t>Acetes</t>
  </si>
  <si>
    <t xml:space="preserve">Cefalópodes </t>
  </si>
  <si>
    <t>Tubarão</t>
  </si>
  <si>
    <t>Outros</t>
  </si>
  <si>
    <t>Gamba</t>
  </si>
  <si>
    <t>Peixe</t>
  </si>
  <si>
    <t>Lagostim</t>
  </si>
  <si>
    <t>Aproveitamento da Fauna Acompanhante</t>
  </si>
  <si>
    <t>Fauna acompanhante</t>
  </si>
  <si>
    <t>Atum Nacional</t>
  </si>
  <si>
    <t>Kapenta</t>
  </si>
  <si>
    <t>Total Pesca Comercial</t>
  </si>
  <si>
    <t>Camarão marinho</t>
  </si>
  <si>
    <t xml:space="preserve">Aquacultura Industrial </t>
  </si>
  <si>
    <t>Aquacultura de Pequena Escala</t>
  </si>
  <si>
    <t>Ouro</t>
  </si>
  <si>
    <t>Tantalite</t>
  </si>
  <si>
    <t>Ilmenite</t>
  </si>
  <si>
    <t>Zircão</t>
  </si>
  <si>
    <t>Rutilo</t>
  </si>
  <si>
    <t xml:space="preserve">Concentrado de areias pesadas </t>
  </si>
  <si>
    <t>Total de Minerais não metálicos</t>
  </si>
  <si>
    <t>Berilo</t>
  </si>
  <si>
    <t>Berilo Refugo</t>
  </si>
  <si>
    <t>Grafite</t>
  </si>
  <si>
    <t>Quartzo Rosa</t>
  </si>
  <si>
    <t>Quartzo Diverso</t>
  </si>
  <si>
    <t>Coríndon Refugo</t>
  </si>
  <si>
    <t xml:space="preserve">Coríndon </t>
  </si>
  <si>
    <t xml:space="preserve">Bentonite </t>
  </si>
  <si>
    <t>Diatomite</t>
  </si>
  <si>
    <t>Calcário</t>
  </si>
  <si>
    <t xml:space="preserve">Areias para construnção </t>
  </si>
  <si>
    <t>Argila</t>
  </si>
  <si>
    <t>Bauxite</t>
  </si>
  <si>
    <t>Água mineral</t>
  </si>
  <si>
    <t>Pedra para construção (brita)</t>
  </si>
  <si>
    <t>Guano</t>
  </si>
  <si>
    <t xml:space="preserve">Total Rochas Ornamentais </t>
  </si>
  <si>
    <t xml:space="preserve">Granito em blocos </t>
  </si>
  <si>
    <t>Turmalinas</t>
  </si>
  <si>
    <t>Turmalinas Refugo</t>
  </si>
  <si>
    <t xml:space="preserve">Granada </t>
  </si>
  <si>
    <t>Granada Refugo</t>
  </si>
  <si>
    <t xml:space="preserve">Águas marinhas </t>
  </si>
  <si>
    <t>Águas marinhas refugo</t>
  </si>
  <si>
    <t>Morganite</t>
  </si>
  <si>
    <t>Rubí</t>
  </si>
  <si>
    <t>Rubí refugo</t>
  </si>
  <si>
    <t>Dumortierite</t>
  </si>
  <si>
    <t>Rodonite</t>
  </si>
  <si>
    <t>Ágata</t>
  </si>
  <si>
    <t>Safira</t>
  </si>
  <si>
    <t>Granada Hessonita</t>
  </si>
  <si>
    <t>Esmeralda</t>
  </si>
  <si>
    <t>Amazonite</t>
  </si>
  <si>
    <t>Topázio</t>
  </si>
  <si>
    <t xml:space="preserve">Total de Pedras Preciosas e Semipreciosas </t>
  </si>
  <si>
    <t xml:space="preserve">Minerais Combustíveis </t>
  </si>
  <si>
    <t>Carvão Coque</t>
  </si>
  <si>
    <t>Carvão Térmico</t>
  </si>
  <si>
    <t xml:space="preserve">Hidrocarbonetos </t>
  </si>
  <si>
    <t>Gás Natural Temane</t>
  </si>
  <si>
    <t>Condensado</t>
  </si>
  <si>
    <t>LNG-Rovuma</t>
  </si>
  <si>
    <t>Indústria Alimentar</t>
  </si>
  <si>
    <t>Indústria de Bebidas</t>
  </si>
  <si>
    <t>Indústria doTabaco</t>
  </si>
  <si>
    <t>Fabricação de têxteis</t>
  </si>
  <si>
    <t>Indústria de Vestuário</t>
  </si>
  <si>
    <t>Ind. Couro: Ind. Calçado</t>
  </si>
  <si>
    <t>Ind. Madeira e Cortiça, excepto Mobiliário</t>
  </si>
  <si>
    <t>Fab. Pasta, papel e cartão e s/artigos</t>
  </si>
  <si>
    <t>Impressão</t>
  </si>
  <si>
    <t>Fab. Prod. Químicos e Fibras Sintéticas e Artif.</t>
  </si>
  <si>
    <t>Fab. Art. Borracha e Matérias Plásticas</t>
  </si>
  <si>
    <t>Fab. Out. Prod. Minerais N/metálicos</t>
  </si>
  <si>
    <t>Ind. Metalúrgica de base</t>
  </si>
  <si>
    <t>Fab. Produtos Metálicos</t>
  </si>
  <si>
    <t>Fabricação Material Eléctrico</t>
  </si>
  <si>
    <t>Fab. Máquinas e Equipamento NE</t>
  </si>
  <si>
    <t>Fab. Veículos Aut. Reboques e Semi-Reb</t>
  </si>
  <si>
    <t>Fab. Outro Equipamento de Transporte</t>
  </si>
  <si>
    <t>Fabricação Mobiliário e Colchões</t>
  </si>
  <si>
    <t>Outras Indústrias Transformadoras</t>
  </si>
  <si>
    <t>Reparação, Manut. E Inst. Máquinas e Equip.</t>
  </si>
  <si>
    <t>HCB</t>
  </si>
  <si>
    <t>Produção Hídrica</t>
  </si>
  <si>
    <t>Corumana</t>
  </si>
  <si>
    <t>Mavuzi</t>
  </si>
  <si>
    <t>Chicamba</t>
  </si>
  <si>
    <t>Cuamba e Lichinga</t>
  </si>
  <si>
    <t>Produção da EDM</t>
  </si>
  <si>
    <t>Majaua</t>
  </si>
  <si>
    <t>Sembezeia</t>
  </si>
  <si>
    <t xml:space="preserve">Mini Hídricas </t>
  </si>
  <si>
    <t>CTRG - Gás Natural</t>
  </si>
  <si>
    <t xml:space="preserve">Temane - Gás Natural </t>
  </si>
  <si>
    <t xml:space="preserve">Central Térmica e Gás de Maputo </t>
  </si>
  <si>
    <t>Elgas - Gás Natural</t>
  </si>
  <si>
    <t>Kuvaninga - Gás Natural</t>
  </si>
  <si>
    <t xml:space="preserve">Karpower - Diesel </t>
  </si>
  <si>
    <t>GG -  Gasóleo / Diesel (EDM)</t>
  </si>
  <si>
    <t xml:space="preserve">Giggawatt - Gás Natural </t>
  </si>
  <si>
    <t xml:space="preserve">Térmica </t>
  </si>
  <si>
    <t>Cuamba</t>
  </si>
  <si>
    <t>Mocuba</t>
  </si>
  <si>
    <t>Mavago</t>
  </si>
  <si>
    <t>Muembe</t>
  </si>
  <si>
    <t>Mecula</t>
  </si>
  <si>
    <t>Metoro</t>
  </si>
  <si>
    <t>Solar</t>
  </si>
  <si>
    <t xml:space="preserve">Tráfego Ferroviário </t>
  </si>
  <si>
    <t xml:space="preserve">Tráfego Rodoviário </t>
  </si>
  <si>
    <t>PIPELINE</t>
  </si>
  <si>
    <t>Marítimo</t>
  </si>
  <si>
    <t>Tráfego Aéreo</t>
  </si>
  <si>
    <t>Comunicações</t>
  </si>
  <si>
    <t xml:space="preserve">Outros </t>
  </si>
  <si>
    <t xml:space="preserve">Construção de pontes </t>
  </si>
  <si>
    <t xml:space="preserve">Reabilitação de pontes </t>
  </si>
  <si>
    <t>Construção de sistemas de abastecimento de água nas zonas rurais</t>
  </si>
  <si>
    <t>Estabelecimento de ligações domiciliárias nas cidades e vilas</t>
  </si>
  <si>
    <t xml:space="preserve"> Obras de Manutenção de Básculas</t>
  </si>
  <si>
    <t xml:space="preserve">Sinalização de estradas </t>
  </si>
  <si>
    <t>Construção e reabilitação de sistemas de Saneamento e Drenagem</t>
  </si>
  <si>
    <t xml:space="preserve">Construção e reabilitação de edifícios e infraestruturas públicas </t>
  </si>
  <si>
    <t xml:space="preserve">Construção e reabilitação de portos </t>
  </si>
  <si>
    <t>Actividades/Produtos</t>
  </si>
  <si>
    <t xml:space="preserve">Registo de direitos da Propriedade Industrial, através da sua orientaҫão e aplicaҫão nas indústrias nacionais, </t>
  </si>
  <si>
    <t>Promoção e monitoria das acções de comercialização agrícola</t>
  </si>
  <si>
    <t>Intermediação de Mercadorias</t>
  </si>
  <si>
    <t xml:space="preserve">Número de quartos </t>
  </si>
  <si>
    <t>Número de camas</t>
  </si>
  <si>
    <t>capacidade de alojamento por superfície</t>
  </si>
  <si>
    <t>capacidade de alojamento por habitante</t>
  </si>
  <si>
    <t xml:space="preserve">Movimento de hospedes </t>
  </si>
  <si>
    <t xml:space="preserve">Oferta de Produtos e serviços serviços </t>
  </si>
  <si>
    <t xml:space="preserve">Estadia dos hóspedes </t>
  </si>
  <si>
    <t xml:space="preserve">Ocupação dos alojamentos </t>
  </si>
  <si>
    <t xml:space="preserve">Procura de Produtos e serviços </t>
  </si>
  <si>
    <t>Taxa Líquida de escolarização na 1 ͣ classe</t>
  </si>
  <si>
    <t>Rácio alunos por Professor</t>
  </si>
  <si>
    <t>Taxa bruta de conclusão do Ensino Secundário do 1ͦ ciclo</t>
  </si>
  <si>
    <t>% de Professores com formação pedagógica específica para leccionar em todos os subsistemas de Educação</t>
  </si>
  <si>
    <t>Nº de carteiras escolares distribuidas</t>
  </si>
  <si>
    <t>Nº de salas de aula construídas</t>
  </si>
  <si>
    <t>Paridade entre a Província com o maior e pior desempenho em rácio aluno por professor, ensino primário público</t>
  </si>
  <si>
    <t>Número de livros distribuídos</t>
  </si>
  <si>
    <t>% de crianças menores de 5 cinco anos completamente vacinadas</t>
  </si>
  <si>
    <t>% de partos instituicionais para a redução da morbimortalidade</t>
  </si>
  <si>
    <t>Número de crianças beneficiárias do TARV</t>
  </si>
  <si>
    <t>Rácio de densidade dos profissionais de regime especial de saúde nacionais e estrangeiros por 100.000 habitantes</t>
  </si>
  <si>
    <t xml:space="preserve">Número de camas </t>
  </si>
  <si>
    <t xml:space="preserve">Numero de unidades sanitárias e hospitais </t>
  </si>
  <si>
    <t>Percentagem de vítimas de violência que acederam aos serviços de atendimento integrado</t>
  </si>
  <si>
    <t>Percentagem de pessoas vivendo a baixo da linha da pobreza beneficiando dos Programas de Proteção Social</t>
  </si>
  <si>
    <t>Realizado (Produção)</t>
  </si>
  <si>
    <t>Estimativa da Produção (Unidade de medida)</t>
  </si>
  <si>
    <t>Custos Intermédios (Realizado)</t>
  </si>
  <si>
    <t>Custos intermédio (Estimativa)</t>
  </si>
  <si>
    <t>Número de adultos beneficiários do TARV</t>
  </si>
  <si>
    <t xml:space="preserve">Esperança de Vida </t>
  </si>
  <si>
    <t>Prevalência de Subnutrição</t>
  </si>
  <si>
    <t xml:space="preserve">Taxa de Alfabetização dos 15-24 anos </t>
  </si>
  <si>
    <t>Taxa de Alfabetização de Adultos</t>
  </si>
  <si>
    <t>Taxa de Conclusão do ensino primário</t>
  </si>
  <si>
    <t xml:space="preserve">Taxa de Homicídios a cada 1000 habitantes </t>
  </si>
  <si>
    <t xml:space="preserve">Taxa de crime contra ordem e Tranquilidade Pública </t>
  </si>
  <si>
    <t>Nível de Terrorismo</t>
  </si>
  <si>
    <t xml:space="preserve">Taxa de captação de água para agricultura </t>
  </si>
  <si>
    <t>Construção de estradas Nacionais e Regionais (KM)</t>
  </si>
  <si>
    <t>Reabilitação de estradas Nacionais e Regionais (KM)</t>
  </si>
  <si>
    <t xml:space="preserve">Reabilitação  de sistemas de abasteceimento de água nas cidades e vilas </t>
  </si>
  <si>
    <t xml:space="preserve">Expansão de sistemas de abasteceimento de água nas cidades e vilas </t>
  </si>
  <si>
    <t>Reabilitação de redes de distribuição de água</t>
  </si>
  <si>
    <t xml:space="preserve">Taxa de acesso à água canalizada </t>
  </si>
  <si>
    <t xml:space="preserve">Expansão de redes de distribuição de água nas zonas rurais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</si>
</sst>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quot;$&quot;* #,##0.00_);_(&quot;$&quot;* \(#,##0.00\);_(&quot;$&quot;* &quot;-&quot;??_);_(@_)"/>
    <numFmt numFmtId="165" formatCode="_(* #,##0.00_);_(* \(#,##0.00\);_(* &quot;-&quot;??_);_(@_)"/>
    <numFmt numFmtId="166" formatCode="_(* #,##0_);_(* \(#,##0\);_(* &quot;-&quot;??_);_(@_)"/>
    <numFmt numFmtId="167" formatCode="0.0%"/>
    <numFmt numFmtId="168" formatCode="_-* #,##0\ _€_-;\-* #,##0\ _€_-;_-* &quot;-&quot;??\ _€_-;_-@_-"/>
    <numFmt numFmtId="169" formatCode="_(* #,##0.0_);_(* \(#,##0.0\);_(* &quot;-&quot;??_);_(@_)"/>
    <numFmt numFmtId="170" formatCode="_-* #,##0_-;\-* #,##0_-;_-* &quot;-&quot;??_-;_-@_-"/>
    <numFmt numFmtId="171" formatCode="[$$-3C09]#,##0"/>
  </numFmts>
  <fonts count="49">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1"/>
      <color theme="1"/>
      <name val="Avenir Next Regular"/>
    </font>
    <font>
      <sz val="14"/>
      <color theme="1"/>
      <name val="Avenir Next Regular"/>
    </font>
    <font>
      <b/>
      <sz val="14"/>
      <color theme="1"/>
      <name val="Avenir Next Regular"/>
    </font>
    <font>
      <b/>
      <sz val="11"/>
      <color theme="1"/>
      <name val="Avenir Next Regular"/>
    </font>
    <font>
      <b/>
      <sz val="11"/>
      <color rgb="FF3F3F3F"/>
      <name val="Calibri"/>
      <family val="2"/>
      <scheme val="minor"/>
    </font>
    <font>
      <b/>
      <sz val="11"/>
      <color rgb="FF3F3F3F"/>
      <name val="Avenir Next Regular"/>
    </font>
    <font>
      <sz val="12"/>
      <color indexed="8"/>
      <name val="Avenir Next Regular"/>
    </font>
    <font>
      <b/>
      <i/>
      <sz val="11"/>
      <color theme="1"/>
      <name val="Avenir Next Regular"/>
    </font>
    <font>
      <b/>
      <sz val="14"/>
      <color theme="0"/>
      <name val="Avenir Next Regular"/>
    </font>
    <font>
      <sz val="11"/>
      <color theme="0"/>
      <name val="Avenir Next Regular"/>
    </font>
    <font>
      <b/>
      <sz val="11"/>
      <color theme="0"/>
      <name val="Avenir Next Regular"/>
    </font>
    <font>
      <sz val="12"/>
      <color rgb="FFFFFFFF"/>
      <name val="Avenir Next Regular"/>
    </font>
    <font>
      <i/>
      <sz val="12"/>
      <color rgb="FFFFFFFF"/>
      <name val="Avenir Next Regular"/>
    </font>
    <font>
      <sz val="12"/>
      <color rgb="FF000000"/>
      <name val="Avenir Next Regular"/>
    </font>
    <font>
      <sz val="11"/>
      <color rgb="FF000000"/>
      <name val="Avenir Next Regular"/>
    </font>
    <font>
      <b/>
      <i/>
      <sz val="12"/>
      <color rgb="FF000000"/>
      <name val="Avenir Next Regular"/>
    </font>
    <font>
      <b/>
      <sz val="12"/>
      <color rgb="FF000000"/>
      <name val="Avenir Next Regular"/>
    </font>
    <font>
      <b/>
      <sz val="12"/>
      <color indexed="8"/>
      <name val="Avenir Next Regular"/>
    </font>
    <font>
      <b/>
      <sz val="12"/>
      <color theme="1"/>
      <name val="Avenir Next Regular"/>
    </font>
    <font>
      <sz val="10"/>
      <name val="Arial"/>
      <family val="2"/>
    </font>
    <font>
      <b/>
      <sz val="10"/>
      <name val="Calibri"/>
      <family val="2"/>
    </font>
    <font>
      <b/>
      <sz val="10"/>
      <name val="Arial"/>
      <family val="2"/>
    </font>
    <font>
      <b/>
      <sz val="11"/>
      <color theme="1"/>
      <name val="Calibri"/>
      <family val="2"/>
      <scheme val="minor"/>
    </font>
    <font>
      <b/>
      <sz val="11"/>
      <color indexed="8"/>
      <name val="Calibri"/>
      <family val="2"/>
    </font>
    <font>
      <b/>
      <sz val="12"/>
      <color theme="1"/>
      <name val="Times New Roman"/>
      <family val="1"/>
    </font>
    <font>
      <sz val="12"/>
      <color indexed="8"/>
      <name val="Times New Roman"/>
      <family val="1"/>
    </font>
    <font>
      <sz val="12"/>
      <color indexed="8"/>
      <name val="Calibri"/>
      <family val="2"/>
    </font>
    <font>
      <b/>
      <sz val="14"/>
      <color rgb="FF000000"/>
      <name val="Avenir Next Regular"/>
    </font>
    <font>
      <sz val="12"/>
      <color theme="1"/>
      <name val="Avenir Next"/>
      <family val="2"/>
    </font>
    <font>
      <b/>
      <sz val="12"/>
      <color theme="1"/>
      <name val="Avenir Next"/>
      <family val="2"/>
    </font>
    <font>
      <b/>
      <sz val="11"/>
      <color theme="1"/>
      <name val="Avenir next"/>
    </font>
    <font>
      <sz val="11"/>
      <color theme="1"/>
      <name val="Avenir next"/>
    </font>
    <font>
      <sz val="11"/>
      <name val="Avenir next"/>
    </font>
    <font>
      <b/>
      <sz val="11"/>
      <name val="Avenir next"/>
    </font>
    <font>
      <sz val="11"/>
      <color indexed="8"/>
      <name val="Avenir next"/>
    </font>
    <font>
      <b/>
      <sz val="14"/>
      <color theme="1"/>
      <name val="Avenir next"/>
    </font>
    <font>
      <sz val="14"/>
      <name val="Avenir next"/>
    </font>
    <font>
      <sz val="14"/>
      <color theme="1"/>
      <name val="Avenir next"/>
    </font>
    <font>
      <sz val="8"/>
      <name val="Calibri"/>
      <family val="2"/>
      <scheme val="minor"/>
    </font>
    <font>
      <sz val="11"/>
      <color rgb="FFFF0000"/>
      <name val="Avenir next"/>
    </font>
    <font>
      <sz val="10"/>
      <name val="Avenir next"/>
    </font>
    <font>
      <b/>
      <sz val="10"/>
      <color theme="1"/>
      <name val="Avenir next"/>
    </font>
    <font>
      <sz val="10"/>
      <color theme="1"/>
      <name val="Avenir next"/>
    </font>
    <font>
      <b/>
      <sz val="10"/>
      <name val="Avenir next"/>
    </font>
    <font>
      <sz val="10"/>
      <color rgb="FFFF0000"/>
      <name val="Avenir next"/>
    </font>
  </fonts>
  <fills count="13">
    <fill>
      <patternFill patternType="none"/>
    </fill>
    <fill>
      <patternFill patternType="gray125"/>
    </fill>
    <fill>
      <patternFill patternType="solid">
        <fgColor rgb="FFF2F2F2"/>
      </patternFill>
    </fill>
    <fill>
      <patternFill patternType="solid">
        <fgColor rgb="FFFFFF0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rgb="FF404040"/>
        <bgColor rgb="FF000000"/>
      </patternFill>
    </fill>
    <fill>
      <patternFill patternType="solid">
        <fgColor rgb="FFF2F2F2"/>
        <bgColor rgb="FF000000"/>
      </patternFill>
    </fill>
    <fill>
      <patternFill patternType="solid">
        <fgColor rgb="FFFFC000"/>
        <bgColor indexed="64"/>
      </patternFill>
    </fill>
    <fill>
      <patternFill patternType="solid">
        <fgColor theme="0"/>
        <bgColor indexed="64"/>
      </patternFill>
    </fill>
    <fill>
      <patternFill patternType="solid">
        <fgColor theme="2" tint="-9.9978637043366805E-2"/>
        <bgColor indexed="64"/>
      </patternFill>
    </fill>
    <fill>
      <patternFill patternType="solid">
        <fgColor rgb="FF00FFCC"/>
        <bgColor indexed="64"/>
      </patternFill>
    </fill>
    <fill>
      <patternFill patternType="solid">
        <fgColor theme="0" tint="-0.249977111117893"/>
        <bgColor indexed="64"/>
      </patternFill>
    </fill>
  </fills>
  <borders count="46">
    <border>
      <left/>
      <right/>
      <top/>
      <bottom/>
      <diagonal/>
    </border>
    <border>
      <left style="thin">
        <color rgb="FF3F3F3F"/>
      </left>
      <right style="thin">
        <color rgb="FF3F3F3F"/>
      </right>
      <top style="thin">
        <color rgb="FF3F3F3F"/>
      </top>
      <bottom style="thin">
        <color rgb="FF3F3F3F"/>
      </bottom>
      <diagonal/>
    </border>
    <border>
      <left/>
      <right/>
      <top style="thin">
        <color indexed="64"/>
      </top>
      <bottom style="thin">
        <color indexed="64"/>
      </bottom>
      <diagonal/>
    </border>
    <border>
      <left/>
      <right/>
      <top style="thin">
        <color indexed="64"/>
      </top>
      <bottom/>
      <diagonal/>
    </border>
    <border>
      <left/>
      <right/>
      <top style="thin">
        <color theme="1"/>
      </top>
      <bottom style="medium">
        <color theme="1"/>
      </bottom>
      <diagonal/>
    </border>
    <border>
      <left/>
      <right/>
      <top/>
      <bottom style="thin">
        <color indexed="64"/>
      </bottom>
      <diagonal/>
    </border>
    <border>
      <left/>
      <right/>
      <top style="thin">
        <color theme="1"/>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12">
    <xf numFmtId="0" fontId="0" fillId="0" borderId="0"/>
    <xf numFmtId="165"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0" fontId="8" fillId="2" borderId="1" applyNumberFormat="0" applyAlignment="0" applyProtection="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3" fillId="0" borderId="0"/>
    <xf numFmtId="165" fontId="23" fillId="0" borderId="0" applyFont="0" applyFill="0" applyBorder="0" applyAlignment="0" applyProtection="0"/>
  </cellStyleXfs>
  <cellXfs count="398">
    <xf numFmtId="0" fontId="0" fillId="0" borderId="0" xfId="0"/>
    <xf numFmtId="0" fontId="4" fillId="0" borderId="0" xfId="0" applyFont="1"/>
    <xf numFmtId="0" fontId="5" fillId="0" borderId="0" xfId="0" applyFont="1"/>
    <xf numFmtId="0" fontId="6" fillId="0" borderId="0" xfId="0" applyFont="1"/>
    <xf numFmtId="9" fontId="7" fillId="3" borderId="0" xfId="3" applyFont="1" applyFill="1"/>
    <xf numFmtId="49" fontId="7" fillId="0" borderId="2" xfId="5" applyNumberFormat="1" applyFont="1" applyBorder="1" applyAlignment="1">
      <alignment horizontal="right" vertical="center"/>
    </xf>
    <xf numFmtId="49" fontId="7" fillId="0" borderId="2" xfId="6" applyNumberFormat="1" applyFont="1" applyBorder="1" applyAlignment="1">
      <alignment horizontal="right" vertical="center"/>
    </xf>
    <xf numFmtId="49" fontId="7" fillId="4" borderId="2" xfId="6" applyNumberFormat="1" applyFont="1" applyFill="1" applyBorder="1" applyAlignment="1">
      <alignment horizontal="center" vertical="center"/>
    </xf>
    <xf numFmtId="0" fontId="7" fillId="0" borderId="0" xfId="0" applyFont="1"/>
    <xf numFmtId="166" fontId="4" fillId="0" borderId="0" xfId="1" applyNumberFormat="1" applyFont="1" applyAlignment="1"/>
    <xf numFmtId="166" fontId="9" fillId="2" borderId="0" xfId="4" applyNumberFormat="1" applyFont="1" applyBorder="1"/>
    <xf numFmtId="166" fontId="4" fillId="0" borderId="0" xfId="0" applyNumberFormat="1" applyFont="1"/>
    <xf numFmtId="3" fontId="4" fillId="0" borderId="0" xfId="0" applyNumberFormat="1" applyFont="1"/>
    <xf numFmtId="0" fontId="11" fillId="0" borderId="2" xfId="0" applyFont="1" applyBorder="1"/>
    <xf numFmtId="166" fontId="11" fillId="0" borderId="2" xfId="0" applyNumberFormat="1" applyFont="1" applyBorder="1"/>
    <xf numFmtId="0" fontId="11" fillId="0" borderId="0" xfId="0" applyFont="1"/>
    <xf numFmtId="9" fontId="11" fillId="0" borderId="0" xfId="3" applyFont="1" applyBorder="1"/>
    <xf numFmtId="10" fontId="11" fillId="0" borderId="0" xfId="3" applyNumberFormat="1" applyFont="1" applyBorder="1"/>
    <xf numFmtId="166" fontId="11" fillId="0" borderId="0" xfId="0" applyNumberFormat="1" applyFont="1"/>
    <xf numFmtId="167" fontId="7" fillId="0" borderId="0" xfId="3" applyNumberFormat="1" applyFont="1"/>
    <xf numFmtId="3" fontId="11" fillId="0" borderId="2" xfId="0" applyNumberFormat="1" applyFont="1" applyBorder="1"/>
    <xf numFmtId="3" fontId="11" fillId="0" borderId="0" xfId="0" applyNumberFormat="1" applyFont="1"/>
    <xf numFmtId="166" fontId="4" fillId="0" borderId="0" xfId="1" applyNumberFormat="1" applyFont="1"/>
    <xf numFmtId="166" fontId="4" fillId="4" borderId="0" xfId="0" applyNumberFormat="1" applyFont="1" applyFill="1"/>
    <xf numFmtId="166" fontId="4" fillId="0" borderId="0" xfId="1" applyNumberFormat="1" applyFont="1" applyBorder="1"/>
    <xf numFmtId="0" fontId="11" fillId="0" borderId="3" xfId="0" applyFont="1" applyBorder="1"/>
    <xf numFmtId="166" fontId="11" fillId="0" borderId="3" xfId="0" applyNumberFormat="1" applyFont="1" applyBorder="1"/>
    <xf numFmtId="166" fontId="11" fillId="4" borderId="3" xfId="0" applyNumberFormat="1" applyFont="1" applyFill="1" applyBorder="1"/>
    <xf numFmtId="166" fontId="11" fillId="4" borderId="0" xfId="0" applyNumberFormat="1" applyFont="1" applyFill="1"/>
    <xf numFmtId="49" fontId="7" fillId="0" borderId="4" xfId="5" applyNumberFormat="1" applyFont="1" applyBorder="1" applyAlignment="1">
      <alignment horizontal="center" vertical="center"/>
    </xf>
    <xf numFmtId="49" fontId="7" fillId="0" borderId="4" xfId="6" applyNumberFormat="1" applyFont="1" applyBorder="1" applyAlignment="1">
      <alignment horizontal="center" vertical="center"/>
    </xf>
    <xf numFmtId="49" fontId="7" fillId="4" borderId="4" xfId="6" applyNumberFormat="1" applyFont="1" applyFill="1" applyBorder="1" applyAlignment="1">
      <alignment horizontal="center" vertical="center"/>
    </xf>
    <xf numFmtId="165" fontId="4" fillId="0" borderId="0" xfId="0" applyNumberFormat="1" applyFont="1"/>
    <xf numFmtId="166" fontId="7" fillId="0" borderId="3" xfId="0" applyNumberFormat="1" applyFont="1" applyBorder="1"/>
    <xf numFmtId="166" fontId="7" fillId="4" borderId="3" xfId="0" applyNumberFormat="1" applyFont="1" applyFill="1" applyBorder="1"/>
    <xf numFmtId="166" fontId="11" fillId="0" borderId="0" xfId="1" applyNumberFormat="1" applyFont="1" applyBorder="1"/>
    <xf numFmtId="166" fontId="11" fillId="4" borderId="0" xfId="1" applyNumberFormat="1" applyFont="1" applyFill="1" applyBorder="1"/>
    <xf numFmtId="0" fontId="7" fillId="0" borderId="5" xfId="0" applyFont="1" applyBorder="1"/>
    <xf numFmtId="166" fontId="4" fillId="0" borderId="5" xfId="1" applyNumberFormat="1" applyFont="1" applyBorder="1"/>
    <xf numFmtId="166" fontId="4" fillId="4" borderId="5" xfId="0" applyNumberFormat="1" applyFont="1" applyFill="1" applyBorder="1"/>
    <xf numFmtId="166" fontId="7" fillId="0" borderId="0" xfId="0" applyNumberFormat="1" applyFont="1"/>
    <xf numFmtId="166" fontId="7" fillId="4" borderId="0" xfId="0" applyNumberFormat="1" applyFont="1" applyFill="1"/>
    <xf numFmtId="164" fontId="7" fillId="0" borderId="0" xfId="2" applyFont="1"/>
    <xf numFmtId="164" fontId="7" fillId="4" borderId="0" xfId="2" applyFont="1" applyFill="1"/>
    <xf numFmtId="0" fontId="13" fillId="5" borderId="0" xfId="0" applyFont="1" applyFill="1"/>
    <xf numFmtId="49" fontId="14" fillId="5" borderId="0" xfId="5" applyNumberFormat="1" applyFont="1" applyFill="1" applyBorder="1" applyAlignment="1">
      <alignment horizontal="center" vertical="center"/>
    </xf>
    <xf numFmtId="49" fontId="14" fillId="5" borderId="0" xfId="6" applyNumberFormat="1" applyFont="1" applyFill="1" applyAlignment="1">
      <alignment horizontal="center" vertical="center"/>
    </xf>
    <xf numFmtId="0" fontId="14" fillId="5" borderId="0" xfId="0" applyFont="1" applyFill="1"/>
    <xf numFmtId="166" fontId="14" fillId="5" borderId="0" xfId="0" applyNumberFormat="1" applyFont="1" applyFill="1"/>
    <xf numFmtId="0" fontId="6" fillId="0" borderId="0" xfId="0" applyFont="1" applyAlignment="1">
      <alignment horizontal="center"/>
    </xf>
    <xf numFmtId="0" fontId="4" fillId="0" borderId="5" xfId="0" applyFont="1" applyBorder="1"/>
    <xf numFmtId="0" fontId="4" fillId="0" borderId="5" xfId="0" applyFont="1" applyBorder="1" applyAlignment="1">
      <alignment horizontal="center"/>
    </xf>
    <xf numFmtId="49" fontId="7" fillId="0" borderId="6" xfId="5" applyNumberFormat="1" applyFont="1" applyBorder="1" applyAlignment="1">
      <alignment horizontal="center" vertical="center"/>
    </xf>
    <xf numFmtId="49" fontId="7" fillId="0" borderId="6" xfId="6" applyNumberFormat="1" applyFont="1" applyBorder="1" applyAlignment="1">
      <alignment horizontal="center" vertical="center"/>
    </xf>
    <xf numFmtId="168" fontId="7" fillId="0" borderId="2" xfId="0" applyNumberFormat="1" applyFont="1" applyBorder="1" applyAlignment="1">
      <alignment horizontal="center"/>
    </xf>
    <xf numFmtId="168" fontId="7" fillId="0" borderId="2" xfId="0" applyNumberFormat="1" applyFont="1" applyBorder="1"/>
    <xf numFmtId="0" fontId="7" fillId="0" borderId="2" xfId="0" applyFont="1" applyBorder="1"/>
    <xf numFmtId="1" fontId="4" fillId="0" borderId="0" xfId="3" applyNumberFormat="1" applyFont="1" applyBorder="1" applyAlignment="1">
      <alignment horizontal="center"/>
    </xf>
    <xf numFmtId="168" fontId="4" fillId="0" borderId="0" xfId="1" applyNumberFormat="1" applyFont="1" applyBorder="1"/>
    <xf numFmtId="0" fontId="4" fillId="0" borderId="0" xfId="0" applyFont="1" applyAlignment="1">
      <alignment horizontal="center"/>
    </xf>
    <xf numFmtId="0" fontId="16" fillId="6" borderId="0" xfId="7" applyFont="1" applyFill="1"/>
    <xf numFmtId="0" fontId="17" fillId="0" borderId="0" xfId="7" applyFont="1"/>
    <xf numFmtId="166" fontId="18" fillId="0" borderId="0" xfId="8" applyNumberFormat="1" applyFont="1" applyFill="1" applyBorder="1"/>
    <xf numFmtId="169" fontId="18" fillId="0" borderId="0" xfId="8" applyNumberFormat="1" applyFont="1" applyFill="1" applyBorder="1"/>
    <xf numFmtId="166" fontId="19" fillId="0" borderId="0" xfId="8" applyNumberFormat="1" applyFont="1" applyFill="1" applyBorder="1"/>
    <xf numFmtId="166" fontId="20" fillId="0" borderId="0" xfId="8" applyNumberFormat="1" applyFont="1" applyFill="1" applyBorder="1"/>
    <xf numFmtId="9" fontId="18" fillId="0" borderId="0" xfId="9" applyFont="1" applyFill="1" applyBorder="1"/>
    <xf numFmtId="0" fontId="17" fillId="7" borderId="0" xfId="7" applyFont="1" applyFill="1"/>
    <xf numFmtId="166" fontId="18" fillId="7" borderId="0" xfId="8" applyNumberFormat="1" applyFont="1" applyFill="1" applyBorder="1"/>
    <xf numFmtId="169" fontId="18" fillId="7" borderId="0" xfId="8" applyNumberFormat="1" applyFont="1" applyFill="1" applyBorder="1"/>
    <xf numFmtId="166" fontId="19" fillId="7" borderId="0" xfId="8" applyNumberFormat="1" applyFont="1" applyFill="1" applyBorder="1"/>
    <xf numFmtId="166" fontId="20" fillId="7" borderId="0" xfId="8" applyNumberFormat="1" applyFont="1" applyFill="1" applyBorder="1"/>
    <xf numFmtId="9" fontId="18" fillId="7" borderId="0" xfId="9" applyFont="1" applyFill="1" applyBorder="1"/>
    <xf numFmtId="0" fontId="16" fillId="6" borderId="0" xfId="7" applyFont="1" applyFill="1" applyAlignment="1">
      <alignment horizontal="center"/>
    </xf>
    <xf numFmtId="9" fontId="18" fillId="0" borderId="0" xfId="3" applyFont="1" applyFill="1" applyBorder="1"/>
    <xf numFmtId="9" fontId="18" fillId="7" borderId="0" xfId="3" applyFont="1" applyFill="1" applyBorder="1"/>
    <xf numFmtId="10" fontId="4" fillId="0" borderId="0" xfId="0" applyNumberFormat="1" applyFont="1"/>
    <xf numFmtId="49" fontId="7" fillId="0" borderId="2" xfId="6" applyNumberFormat="1" applyFont="1" applyBorder="1" applyAlignment="1">
      <alignment horizontal="center" vertical="center"/>
    </xf>
    <xf numFmtId="49" fontId="7" fillId="4" borderId="0" xfId="6" applyNumberFormat="1" applyFont="1" applyFill="1" applyBorder="1" applyAlignment="1">
      <alignment horizontal="center" vertical="center"/>
    </xf>
    <xf numFmtId="166" fontId="11" fillId="0" borderId="0" xfId="0" applyNumberFormat="1" applyFont="1" applyBorder="1"/>
    <xf numFmtId="166" fontId="11" fillId="4" borderId="0" xfId="0" applyNumberFormat="1" applyFont="1" applyFill="1" applyBorder="1"/>
    <xf numFmtId="166" fontId="7" fillId="4" borderId="0" xfId="0" applyNumberFormat="1" applyFont="1" applyFill="1" applyBorder="1"/>
    <xf numFmtId="166" fontId="4" fillId="4" borderId="0" xfId="0" applyNumberFormat="1" applyFont="1" applyFill="1" applyBorder="1"/>
    <xf numFmtId="10" fontId="9" fillId="2" borderId="0" xfId="3" applyNumberFormat="1" applyFont="1" applyFill="1" applyBorder="1"/>
    <xf numFmtId="49" fontId="7" fillId="8" borderId="2" xfId="6" applyNumberFormat="1" applyFont="1" applyFill="1" applyBorder="1" applyAlignment="1">
      <alignment horizontal="center" vertical="center"/>
    </xf>
    <xf numFmtId="167" fontId="4" fillId="0" borderId="0" xfId="3" applyNumberFormat="1" applyFont="1"/>
    <xf numFmtId="167" fontId="7" fillId="8" borderId="0" xfId="3" applyNumberFormat="1" applyFont="1" applyFill="1"/>
    <xf numFmtId="9" fontId="4" fillId="8" borderId="0" xfId="3" applyFont="1" applyFill="1"/>
    <xf numFmtId="0" fontId="4" fillId="0" borderId="0" xfId="0" applyFont="1" applyBorder="1"/>
    <xf numFmtId="0" fontId="7" fillId="0" borderId="0" xfId="0" applyFont="1" applyBorder="1"/>
    <xf numFmtId="3" fontId="4" fillId="0" borderId="0" xfId="0" applyNumberFormat="1" applyFont="1" applyBorder="1"/>
    <xf numFmtId="0" fontId="11" fillId="0" borderId="0" xfId="0" applyFont="1" applyBorder="1"/>
    <xf numFmtId="166" fontId="0" fillId="0" borderId="0" xfId="1" applyNumberFormat="1" applyFont="1"/>
    <xf numFmtId="0" fontId="7" fillId="0" borderId="0" xfId="0" applyFont="1" applyFill="1"/>
    <xf numFmtId="166" fontId="0" fillId="0" borderId="0" xfId="1" applyNumberFormat="1" applyFont="1" applyFill="1"/>
    <xf numFmtId="166" fontId="4" fillId="0" borderId="0" xfId="1" applyNumberFormat="1" applyFont="1" applyFill="1" applyAlignment="1"/>
    <xf numFmtId="3" fontId="4" fillId="0" borderId="0" xfId="0" applyNumberFormat="1" applyFont="1" applyFill="1"/>
    <xf numFmtId="166" fontId="9" fillId="2" borderId="0" xfId="1" applyNumberFormat="1" applyFont="1" applyFill="1" applyBorder="1"/>
    <xf numFmtId="0" fontId="23" fillId="0" borderId="0" xfId="10"/>
    <xf numFmtId="0" fontId="23" fillId="9" borderId="0" xfId="10" applyFill="1"/>
    <xf numFmtId="0" fontId="26" fillId="0" borderId="0" xfId="10" applyFont="1" applyAlignment="1">
      <alignment vertical="center"/>
    </xf>
    <xf numFmtId="9" fontId="23" fillId="0" borderId="0" xfId="3" applyFont="1"/>
    <xf numFmtId="0" fontId="31" fillId="0" borderId="0" xfId="0" applyFont="1"/>
    <xf numFmtId="9" fontId="4" fillId="0" borderId="0" xfId="3" applyFont="1"/>
    <xf numFmtId="0" fontId="6" fillId="8" borderId="0" xfId="0" applyFont="1" applyFill="1" applyAlignment="1">
      <alignment horizontal="center"/>
    </xf>
    <xf numFmtId="0" fontId="4" fillId="0" borderId="0" xfId="0" applyFont="1" applyFill="1"/>
    <xf numFmtId="9" fontId="7" fillId="0" borderId="0" xfId="3" applyFont="1" applyFill="1"/>
    <xf numFmtId="0" fontId="7" fillId="0" borderId="0" xfId="0" applyFont="1" applyAlignment="1"/>
    <xf numFmtId="166" fontId="4" fillId="0" borderId="0" xfId="0" applyNumberFormat="1" applyFont="1" applyFill="1"/>
    <xf numFmtId="166" fontId="0" fillId="0" borderId="0" xfId="0" applyNumberFormat="1"/>
    <xf numFmtId="0" fontId="32" fillId="0" borderId="0" xfId="0" applyFont="1" applyAlignment="1">
      <alignment horizontal="left" vertical="center" wrapText="1"/>
    </xf>
    <xf numFmtId="0" fontId="33" fillId="0" borderId="0" xfId="0" applyFont="1" applyAlignment="1">
      <alignment horizontal="left" vertical="center" wrapText="1"/>
    </xf>
    <xf numFmtId="49" fontId="7" fillId="0" borderId="0" xfId="6" applyNumberFormat="1" applyFont="1" applyBorder="1" applyAlignment="1">
      <alignment horizontal="right" vertical="center"/>
    </xf>
    <xf numFmtId="166" fontId="4" fillId="0" borderId="0" xfId="0" applyNumberFormat="1" applyFont="1" applyBorder="1"/>
    <xf numFmtId="167" fontId="7" fillId="0" borderId="0" xfId="3" applyNumberFormat="1" applyFont="1" applyBorder="1"/>
    <xf numFmtId="9" fontId="14" fillId="0" borderId="0" xfId="3" applyFont="1" applyFill="1"/>
    <xf numFmtId="10" fontId="9" fillId="0" borderId="0" xfId="3" applyNumberFormat="1" applyFont="1" applyFill="1" applyBorder="1"/>
    <xf numFmtId="0" fontId="23" fillId="0" borderId="0" xfId="10" applyFill="1"/>
    <xf numFmtId="0" fontId="33" fillId="0" borderId="0" xfId="0" applyFont="1" applyAlignment="1">
      <alignment horizontal="center" vertical="center"/>
    </xf>
    <xf numFmtId="0" fontId="1" fillId="0" borderId="0" xfId="0" applyFont="1"/>
    <xf numFmtId="0" fontId="33" fillId="0" borderId="0" xfId="0" applyFont="1" applyAlignment="1">
      <alignment horizontal="left" vertical="center"/>
    </xf>
    <xf numFmtId="0" fontId="1" fillId="0" borderId="0" xfId="0" applyFont="1" applyAlignment="1">
      <alignment wrapText="1"/>
    </xf>
    <xf numFmtId="0" fontId="4" fillId="9" borderId="0" xfId="0" applyFont="1" applyFill="1" applyBorder="1"/>
    <xf numFmtId="0" fontId="7" fillId="9" borderId="0" xfId="0" applyFont="1" applyFill="1"/>
    <xf numFmtId="4" fontId="0" fillId="0" borderId="0" xfId="0" applyNumberFormat="1"/>
    <xf numFmtId="4" fontId="26" fillId="0" borderId="0" xfId="0" applyNumberFormat="1" applyFont="1"/>
    <xf numFmtId="0" fontId="34" fillId="8" borderId="14" xfId="10" applyFont="1" applyFill="1" applyBorder="1" applyAlignment="1">
      <alignment horizontal="center" vertical="center"/>
    </xf>
    <xf numFmtId="9" fontId="34" fillId="8" borderId="14" xfId="3" applyFont="1" applyFill="1" applyBorder="1" applyAlignment="1">
      <alignment horizontal="center" vertical="center" wrapText="1"/>
    </xf>
    <xf numFmtId="9" fontId="34" fillId="10" borderId="16" xfId="3" applyFont="1" applyFill="1" applyBorder="1" applyAlignment="1">
      <alignment horizontal="right" vertical="center"/>
    </xf>
    <xf numFmtId="9" fontId="34" fillId="10" borderId="16" xfId="3" applyFont="1" applyFill="1" applyBorder="1"/>
    <xf numFmtId="9" fontId="34" fillId="10" borderId="16" xfId="3" applyFont="1" applyFill="1" applyBorder="1" applyAlignment="1">
      <alignment vertical="center"/>
    </xf>
    <xf numFmtId="9" fontId="34" fillId="10" borderId="16" xfId="3" applyFont="1" applyFill="1" applyBorder="1" applyAlignment="1">
      <alignment horizontal="right"/>
    </xf>
    <xf numFmtId="0" fontId="36" fillId="0" borderId="0" xfId="10" applyFont="1"/>
    <xf numFmtId="9" fontId="36" fillId="0" borderId="0" xfId="3" applyFont="1"/>
    <xf numFmtId="0" fontId="36" fillId="0" borderId="0" xfId="10" applyFont="1" applyFill="1"/>
    <xf numFmtId="9" fontId="36" fillId="9" borderId="15" xfId="3" applyFont="1" applyFill="1" applyBorder="1" applyAlignment="1">
      <alignment horizontal="right" vertical="center"/>
    </xf>
    <xf numFmtId="9" fontId="36" fillId="9" borderId="15" xfId="3" applyFont="1" applyFill="1" applyBorder="1"/>
    <xf numFmtId="0" fontId="36" fillId="9" borderId="0" xfId="10" applyFont="1" applyFill="1"/>
    <xf numFmtId="9" fontId="36" fillId="9" borderId="16" xfId="3" applyFont="1" applyFill="1" applyBorder="1"/>
    <xf numFmtId="9" fontId="37" fillId="10" borderId="16" xfId="3" applyFont="1" applyFill="1" applyBorder="1"/>
    <xf numFmtId="165" fontId="36" fillId="0" borderId="0" xfId="10" applyNumberFormat="1" applyFont="1"/>
    <xf numFmtId="3" fontId="34" fillId="8" borderId="16" xfId="0" applyNumberFormat="1" applyFont="1" applyFill="1" applyBorder="1" applyAlignment="1">
      <alignment vertical="center"/>
    </xf>
    <xf numFmtId="165" fontId="37" fillId="8" borderId="16" xfId="11" applyFont="1" applyFill="1" applyBorder="1"/>
    <xf numFmtId="9" fontId="34" fillId="8" borderId="16" xfId="3" applyFont="1" applyFill="1" applyBorder="1" applyAlignment="1">
      <alignment vertical="center"/>
    </xf>
    <xf numFmtId="0" fontId="35" fillId="9" borderId="16" xfId="0" applyFont="1" applyFill="1" applyBorder="1" applyAlignment="1">
      <alignment horizontal="center"/>
    </xf>
    <xf numFmtId="0" fontId="35" fillId="9" borderId="16" xfId="0" applyFont="1" applyFill="1" applyBorder="1"/>
    <xf numFmtId="3" fontId="35" fillId="9" borderId="16" xfId="0" applyNumberFormat="1" applyFont="1" applyFill="1" applyBorder="1"/>
    <xf numFmtId="0" fontId="36" fillId="9" borderId="16" xfId="0" applyFont="1" applyFill="1" applyBorder="1"/>
    <xf numFmtId="9" fontId="37" fillId="8" borderId="16" xfId="3" applyFont="1" applyFill="1" applyBorder="1"/>
    <xf numFmtId="170" fontId="34" fillId="8" borderId="16" xfId="0" applyNumberFormat="1" applyFont="1" applyFill="1" applyBorder="1" applyAlignment="1">
      <alignment vertical="center"/>
    </xf>
    <xf numFmtId="166" fontId="37" fillId="8" borderId="16" xfId="11" applyNumberFormat="1" applyFont="1" applyFill="1" applyBorder="1"/>
    <xf numFmtId="171" fontId="36" fillId="0" borderId="0" xfId="10" applyNumberFormat="1" applyFont="1"/>
    <xf numFmtId="3" fontId="36" fillId="9" borderId="16" xfId="11" applyNumberFormat="1" applyFont="1" applyFill="1" applyBorder="1"/>
    <xf numFmtId="3" fontId="36" fillId="9" borderId="16" xfId="0" applyNumberFormat="1" applyFont="1" applyFill="1" applyBorder="1"/>
    <xf numFmtId="166" fontId="36" fillId="9" borderId="15" xfId="10" applyNumberFormat="1" applyFont="1" applyFill="1" applyBorder="1" applyAlignment="1">
      <alignment horizontal="center"/>
    </xf>
    <xf numFmtId="166" fontId="35" fillId="9" borderId="16" xfId="10" applyNumberFormat="1" applyFont="1" applyFill="1" applyBorder="1" applyAlignment="1">
      <alignment vertical="center"/>
    </xf>
    <xf numFmtId="166" fontId="36" fillId="9" borderId="15" xfId="11" applyNumberFormat="1" applyFont="1" applyFill="1" applyBorder="1"/>
    <xf numFmtId="166" fontId="36" fillId="9" borderId="15" xfId="10" applyNumberFormat="1" applyFont="1" applyFill="1" applyBorder="1"/>
    <xf numFmtId="166" fontId="35" fillId="0" borderId="16" xfId="10" applyNumberFormat="1" applyFont="1" applyFill="1" applyBorder="1" applyAlignment="1">
      <alignment vertical="center"/>
    </xf>
    <xf numFmtId="166" fontId="36" fillId="9" borderId="16" xfId="10" applyNumberFormat="1" applyFont="1" applyFill="1" applyBorder="1" applyAlignment="1">
      <alignment horizontal="center"/>
    </xf>
    <xf numFmtId="166" fontId="36" fillId="10" borderId="16" xfId="10" applyNumberFormat="1" applyFont="1" applyFill="1" applyBorder="1" applyAlignment="1">
      <alignment horizontal="center"/>
    </xf>
    <xf numFmtId="166" fontId="34" fillId="10" borderId="16" xfId="10" applyNumberFormat="1" applyFont="1" applyFill="1" applyBorder="1" applyAlignment="1">
      <alignment vertical="center"/>
    </xf>
    <xf numFmtId="166" fontId="36" fillId="10" borderId="16" xfId="11" applyNumberFormat="1" applyFont="1" applyFill="1" applyBorder="1"/>
    <xf numFmtId="166" fontId="34" fillId="10" borderId="16" xfId="10" applyNumberFormat="1" applyFont="1" applyFill="1" applyBorder="1"/>
    <xf numFmtId="166" fontId="37" fillId="10" borderId="16" xfId="11" applyNumberFormat="1" applyFont="1" applyFill="1" applyBorder="1"/>
    <xf numFmtId="166" fontId="34" fillId="10" borderId="16" xfId="11" applyNumberFormat="1" applyFont="1" applyFill="1" applyBorder="1"/>
    <xf numFmtId="166" fontId="35" fillId="9" borderId="17" xfId="10" applyNumberFormat="1" applyFont="1" applyFill="1" applyBorder="1" applyAlignment="1">
      <alignment vertical="center"/>
    </xf>
    <xf numFmtId="166" fontId="36" fillId="9" borderId="16" xfId="11" applyNumberFormat="1" applyFont="1" applyFill="1" applyBorder="1"/>
    <xf numFmtId="166" fontId="35" fillId="9" borderId="16" xfId="10" applyNumberFormat="1" applyFont="1" applyFill="1" applyBorder="1"/>
    <xf numFmtId="166" fontId="35" fillId="9" borderId="15" xfId="10" applyNumberFormat="1" applyFont="1" applyFill="1" applyBorder="1" applyAlignment="1">
      <alignment vertical="center"/>
    </xf>
    <xf numFmtId="166" fontId="36" fillId="10" borderId="16" xfId="10" applyNumberFormat="1" applyFont="1" applyFill="1" applyBorder="1" applyAlignment="1">
      <alignment vertical="center"/>
    </xf>
    <xf numFmtId="166" fontId="34" fillId="10" borderId="16" xfId="10" applyNumberFormat="1" applyFont="1" applyFill="1" applyBorder="1" applyAlignment="1">
      <alignment vertical="center" wrapText="1"/>
    </xf>
    <xf numFmtId="166" fontId="34" fillId="10" borderId="16" xfId="11" applyNumberFormat="1" applyFont="1" applyFill="1" applyBorder="1" applyAlignment="1">
      <alignment vertical="center"/>
    </xf>
    <xf numFmtId="166" fontId="37" fillId="10" borderId="16" xfId="11" applyNumberFormat="1" applyFont="1" applyFill="1" applyBorder="1" applyAlignment="1">
      <alignment vertical="center"/>
    </xf>
    <xf numFmtId="166" fontId="35" fillId="9" borderId="15" xfId="10" applyNumberFormat="1" applyFont="1" applyFill="1" applyBorder="1"/>
    <xf numFmtId="166" fontId="11" fillId="0" borderId="3" xfId="1" applyNumberFormat="1" applyFont="1" applyBorder="1"/>
    <xf numFmtId="0" fontId="0" fillId="9" borderId="0" xfId="0" applyFill="1"/>
    <xf numFmtId="166" fontId="40" fillId="9" borderId="15" xfId="10" applyNumberFormat="1" applyFont="1" applyFill="1" applyBorder="1" applyAlignment="1">
      <alignment horizontal="center"/>
    </xf>
    <xf numFmtId="166" fontId="41" fillId="9" borderId="16" xfId="10" applyNumberFormat="1" applyFont="1" applyFill="1" applyBorder="1" applyAlignment="1">
      <alignment vertical="center"/>
    </xf>
    <xf numFmtId="166" fontId="40" fillId="9" borderId="15" xfId="11" applyNumberFormat="1" applyFont="1" applyFill="1" applyBorder="1"/>
    <xf numFmtId="166" fontId="40" fillId="9" borderId="16" xfId="10" applyNumberFormat="1" applyFont="1" applyFill="1" applyBorder="1" applyAlignment="1">
      <alignment horizontal="center"/>
    </xf>
    <xf numFmtId="0" fontId="39" fillId="11" borderId="14" xfId="10" applyFont="1" applyFill="1" applyBorder="1" applyAlignment="1">
      <alignment horizontal="center" vertical="center"/>
    </xf>
    <xf numFmtId="166" fontId="40" fillId="9" borderId="22" xfId="11" applyNumberFormat="1" applyFont="1" applyFill="1" applyBorder="1"/>
    <xf numFmtId="166" fontId="40" fillId="9" borderId="22" xfId="10" applyNumberFormat="1" applyFont="1" applyFill="1" applyBorder="1"/>
    <xf numFmtId="166" fontId="36" fillId="9" borderId="22" xfId="10" applyNumberFormat="1" applyFont="1" applyFill="1" applyBorder="1"/>
    <xf numFmtId="0" fontId="39" fillId="11" borderId="24" xfId="10" applyFont="1" applyFill="1" applyBorder="1" applyAlignment="1">
      <alignment horizontal="center" vertical="center"/>
    </xf>
    <xf numFmtId="0" fontId="39" fillId="11" borderId="35" xfId="10" applyFont="1" applyFill="1" applyBorder="1" applyAlignment="1">
      <alignment horizontal="center" vertical="center"/>
    </xf>
    <xf numFmtId="166" fontId="40" fillId="9" borderId="29" xfId="10" applyNumberFormat="1" applyFont="1" applyFill="1" applyBorder="1"/>
    <xf numFmtId="166" fontId="40" fillId="9" borderId="28" xfId="11" applyNumberFormat="1" applyFont="1" applyFill="1" applyBorder="1"/>
    <xf numFmtId="165" fontId="40" fillId="9" borderId="15" xfId="11" applyNumberFormat="1" applyFont="1" applyFill="1" applyBorder="1"/>
    <xf numFmtId="166" fontId="36" fillId="9" borderId="29" xfId="10" applyNumberFormat="1" applyFont="1" applyFill="1" applyBorder="1"/>
    <xf numFmtId="0" fontId="37" fillId="9" borderId="0" xfId="10" applyFont="1" applyFill="1"/>
    <xf numFmtId="167" fontId="35" fillId="9" borderId="16" xfId="3" applyNumberFormat="1" applyFont="1" applyFill="1" applyBorder="1"/>
    <xf numFmtId="0" fontId="43" fillId="9" borderId="0" xfId="10" applyFont="1" applyFill="1"/>
    <xf numFmtId="0" fontId="44" fillId="9" borderId="0" xfId="10" applyFont="1" applyFill="1"/>
    <xf numFmtId="0" fontId="45" fillId="11" borderId="24" xfId="10" applyFont="1" applyFill="1" applyBorder="1" applyAlignment="1">
      <alignment horizontal="center" vertical="center"/>
    </xf>
    <xf numFmtId="0" fontId="45" fillId="11" borderId="35" xfId="10" applyFont="1" applyFill="1" applyBorder="1" applyAlignment="1">
      <alignment horizontal="center" vertical="center"/>
    </xf>
    <xf numFmtId="0" fontId="45" fillId="11" borderId="14" xfId="10" applyFont="1" applyFill="1" applyBorder="1" applyAlignment="1">
      <alignment horizontal="center" vertical="center"/>
    </xf>
    <xf numFmtId="166" fontId="44" fillId="9" borderId="15" xfId="10" applyNumberFormat="1" applyFont="1" applyFill="1" applyBorder="1" applyAlignment="1">
      <alignment horizontal="center"/>
    </xf>
    <xf numFmtId="166" fontId="46" fillId="9" borderId="16" xfId="10" applyNumberFormat="1" applyFont="1" applyFill="1" applyBorder="1" applyAlignment="1">
      <alignment vertical="center"/>
    </xf>
    <xf numFmtId="166" fontId="44" fillId="9" borderId="15" xfId="11" applyNumberFormat="1" applyFont="1" applyFill="1" applyBorder="1"/>
    <xf numFmtId="166" fontId="44" fillId="9" borderId="15" xfId="10" applyNumberFormat="1" applyFont="1" applyFill="1" applyBorder="1"/>
    <xf numFmtId="166" fontId="44" fillId="9" borderId="22" xfId="10" applyNumberFormat="1" applyFont="1" applyFill="1" applyBorder="1"/>
    <xf numFmtId="166" fontId="44" fillId="9" borderId="29" xfId="10" applyNumberFormat="1" applyFont="1" applyFill="1" applyBorder="1"/>
    <xf numFmtId="166" fontId="44" fillId="9" borderId="28" xfId="11" applyNumberFormat="1" applyFont="1" applyFill="1" applyBorder="1"/>
    <xf numFmtId="166" fontId="44" fillId="9" borderId="29" xfId="11" applyNumberFormat="1" applyFont="1" applyFill="1" applyBorder="1"/>
    <xf numFmtId="165" fontId="44" fillId="9" borderId="15" xfId="11" applyNumberFormat="1" applyFont="1" applyFill="1" applyBorder="1"/>
    <xf numFmtId="166" fontId="44" fillId="9" borderId="16" xfId="10" applyNumberFormat="1" applyFont="1" applyFill="1" applyBorder="1" applyAlignment="1">
      <alignment horizontal="center"/>
    </xf>
    <xf numFmtId="166" fontId="44" fillId="9" borderId="16" xfId="11" applyNumberFormat="1" applyFont="1" applyFill="1" applyBorder="1"/>
    <xf numFmtId="166" fontId="46" fillId="9" borderId="17" xfId="10" applyNumberFormat="1" applyFont="1" applyFill="1" applyBorder="1" applyAlignment="1">
      <alignment vertical="center"/>
    </xf>
    <xf numFmtId="166" fontId="46" fillId="9" borderId="16" xfId="10" applyNumberFormat="1" applyFont="1" applyFill="1" applyBorder="1"/>
    <xf numFmtId="166" fontId="46" fillId="9" borderId="15" xfId="10" applyNumberFormat="1" applyFont="1" applyFill="1" applyBorder="1" applyAlignment="1">
      <alignment vertical="center"/>
    </xf>
    <xf numFmtId="166" fontId="47" fillId="9" borderId="14" xfId="11" applyNumberFormat="1" applyFont="1" applyFill="1" applyBorder="1"/>
    <xf numFmtId="166" fontId="47" fillId="9" borderId="34" xfId="11" applyNumberFormat="1" applyFont="1" applyFill="1" applyBorder="1"/>
    <xf numFmtId="166" fontId="47" fillId="9" borderId="33" xfId="11" applyNumberFormat="1" applyFont="1" applyFill="1" applyBorder="1"/>
    <xf numFmtId="166" fontId="47" fillId="9" borderId="11" xfId="11" applyNumberFormat="1" applyFont="1" applyFill="1" applyBorder="1"/>
    <xf numFmtId="166" fontId="47" fillId="9" borderId="13" xfId="11" applyNumberFormat="1" applyFont="1" applyFill="1" applyBorder="1"/>
    <xf numFmtId="166" fontId="47" fillId="9" borderId="27" xfId="11" applyNumberFormat="1" applyFont="1" applyFill="1" applyBorder="1"/>
    <xf numFmtId="165" fontId="47" fillId="9" borderId="15" xfId="11" applyNumberFormat="1" applyFont="1" applyFill="1" applyBorder="1"/>
    <xf numFmtId="0" fontId="47" fillId="9" borderId="0" xfId="10" applyFont="1" applyFill="1"/>
    <xf numFmtId="0" fontId="48" fillId="9" borderId="0" xfId="10" applyFont="1" applyFill="1"/>
    <xf numFmtId="166" fontId="40" fillId="12" borderId="16" xfId="10" applyNumberFormat="1" applyFont="1" applyFill="1" applyBorder="1" applyAlignment="1">
      <alignment horizontal="center"/>
    </xf>
    <xf numFmtId="166" fontId="39" fillId="12" borderId="16" xfId="10" applyNumberFormat="1" applyFont="1" applyFill="1" applyBorder="1" applyAlignment="1">
      <alignment vertical="center"/>
    </xf>
    <xf numFmtId="166" fontId="40" fillId="12" borderId="16" xfId="11" applyNumberFormat="1" applyFont="1" applyFill="1" applyBorder="1"/>
    <xf numFmtId="166" fontId="39" fillId="12" borderId="18" xfId="10" applyNumberFormat="1" applyFont="1" applyFill="1" applyBorder="1"/>
    <xf numFmtId="166" fontId="39" fillId="12" borderId="31" xfId="10" applyNumberFormat="1" applyFont="1" applyFill="1" applyBorder="1"/>
    <xf numFmtId="165" fontId="40" fillId="12" borderId="15" xfId="11" applyNumberFormat="1" applyFont="1" applyFill="1" applyBorder="1"/>
    <xf numFmtId="166" fontId="36" fillId="12" borderId="16" xfId="10" applyNumberFormat="1" applyFont="1" applyFill="1" applyBorder="1" applyAlignment="1">
      <alignment horizontal="center"/>
    </xf>
    <xf numFmtId="166" fontId="34" fillId="12" borderId="16" xfId="10" applyNumberFormat="1" applyFont="1" applyFill="1" applyBorder="1" applyAlignment="1">
      <alignment vertical="center"/>
    </xf>
    <xf numFmtId="166" fontId="36" fillId="12" borderId="16" xfId="11" applyNumberFormat="1" applyFont="1" applyFill="1" applyBorder="1"/>
    <xf numFmtId="166" fontId="34" fillId="12" borderId="16" xfId="10" applyNumberFormat="1" applyFont="1" applyFill="1" applyBorder="1"/>
    <xf numFmtId="166" fontId="34" fillId="12" borderId="18" xfId="10" applyNumberFormat="1" applyFont="1" applyFill="1" applyBorder="1"/>
    <xf numFmtId="166" fontId="34" fillId="12" borderId="31" xfId="10" applyNumberFormat="1" applyFont="1" applyFill="1" applyBorder="1"/>
    <xf numFmtId="166" fontId="34" fillId="12" borderId="16" xfId="11" applyNumberFormat="1" applyFont="1" applyFill="1" applyBorder="1"/>
    <xf numFmtId="166" fontId="36" fillId="12" borderId="16" xfId="10" applyNumberFormat="1" applyFont="1" applyFill="1" applyBorder="1" applyAlignment="1">
      <alignment vertical="center"/>
    </xf>
    <xf numFmtId="166" fontId="34" fillId="12" borderId="16" xfId="10" applyNumberFormat="1" applyFont="1" applyFill="1" applyBorder="1" applyAlignment="1">
      <alignment vertical="center" wrapText="1"/>
    </xf>
    <xf numFmtId="166" fontId="34" fillId="12" borderId="16" xfId="11" applyNumberFormat="1" applyFont="1" applyFill="1" applyBorder="1" applyAlignment="1">
      <alignment vertical="center"/>
    </xf>
    <xf numFmtId="166" fontId="34" fillId="12" borderId="18" xfId="10" applyNumberFormat="1" applyFont="1" applyFill="1" applyBorder="1" applyAlignment="1">
      <alignment vertical="center"/>
    </xf>
    <xf numFmtId="166" fontId="34" fillId="12" borderId="31" xfId="10" applyNumberFormat="1" applyFont="1" applyFill="1" applyBorder="1" applyAlignment="1">
      <alignment vertical="center"/>
    </xf>
    <xf numFmtId="166" fontId="37" fillId="12" borderId="34" xfId="11" applyNumberFormat="1" applyFont="1" applyFill="1" applyBorder="1"/>
    <xf numFmtId="166" fontId="37" fillId="12" borderId="33" xfId="11" applyNumberFormat="1" applyFont="1" applyFill="1" applyBorder="1"/>
    <xf numFmtId="3" fontId="34" fillId="12" borderId="14" xfId="0" applyNumberFormat="1" applyFont="1" applyFill="1" applyBorder="1" applyAlignment="1">
      <alignment vertical="center"/>
    </xf>
    <xf numFmtId="167" fontId="34" fillId="12" borderId="16" xfId="3" applyNumberFormat="1" applyFont="1" applyFill="1" applyBorder="1"/>
    <xf numFmtId="166" fontId="44" fillId="12" borderId="16" xfId="10" applyNumberFormat="1" applyFont="1" applyFill="1" applyBorder="1" applyAlignment="1">
      <alignment horizontal="center"/>
    </xf>
    <xf numFmtId="166" fontId="45" fillId="12" borderId="16" xfId="10" applyNumberFormat="1" applyFont="1" applyFill="1" applyBorder="1" applyAlignment="1">
      <alignment vertical="center"/>
    </xf>
    <xf numFmtId="166" fontId="44" fillId="12" borderId="16" xfId="11" applyNumberFormat="1" applyFont="1" applyFill="1" applyBorder="1"/>
    <xf numFmtId="166" fontId="45" fillId="12" borderId="16" xfId="10" applyNumberFormat="1" applyFont="1" applyFill="1" applyBorder="1"/>
    <xf numFmtId="166" fontId="45" fillId="12" borderId="18" xfId="10" applyNumberFormat="1" applyFont="1" applyFill="1" applyBorder="1"/>
    <xf numFmtId="166" fontId="45" fillId="12" borderId="31" xfId="10" applyNumberFormat="1" applyFont="1" applyFill="1" applyBorder="1"/>
    <xf numFmtId="166" fontId="47" fillId="12" borderId="30" xfId="11" applyNumberFormat="1" applyFont="1" applyFill="1" applyBorder="1"/>
    <xf numFmtId="166" fontId="47" fillId="12" borderId="16" xfId="11" applyNumberFormat="1" applyFont="1" applyFill="1" applyBorder="1"/>
    <xf numFmtId="166" fontId="47" fillId="12" borderId="31" xfId="11" applyNumberFormat="1" applyFont="1" applyFill="1" applyBorder="1"/>
    <xf numFmtId="165" fontId="44" fillId="12" borderId="15" xfId="11" applyNumberFormat="1" applyFont="1" applyFill="1" applyBorder="1"/>
    <xf numFmtId="166" fontId="44" fillId="12" borderId="16" xfId="10" applyNumberFormat="1" applyFont="1" applyFill="1" applyBorder="1" applyAlignment="1">
      <alignment vertical="center"/>
    </xf>
    <xf numFmtId="166" fontId="45" fillId="12" borderId="16" xfId="10" applyNumberFormat="1" applyFont="1" applyFill="1" applyBorder="1" applyAlignment="1">
      <alignment vertical="center" wrapText="1"/>
    </xf>
    <xf numFmtId="166" fontId="45" fillId="12" borderId="16" xfId="11" applyNumberFormat="1" applyFont="1" applyFill="1" applyBorder="1" applyAlignment="1">
      <alignment vertical="center"/>
    </xf>
    <xf numFmtId="166" fontId="45" fillId="12" borderId="18" xfId="10" applyNumberFormat="1" applyFont="1" applyFill="1" applyBorder="1" applyAlignment="1">
      <alignment vertical="center"/>
    </xf>
    <xf numFmtId="166" fontId="45" fillId="12" borderId="31" xfId="10" applyNumberFormat="1" applyFont="1" applyFill="1" applyBorder="1" applyAlignment="1">
      <alignment vertical="center"/>
    </xf>
    <xf numFmtId="166" fontId="47" fillId="12" borderId="30" xfId="11" applyNumberFormat="1" applyFont="1" applyFill="1" applyBorder="1" applyAlignment="1">
      <alignment vertical="center"/>
    </xf>
    <xf numFmtId="166" fontId="47" fillId="12" borderId="16" xfId="11" applyNumberFormat="1" applyFont="1" applyFill="1" applyBorder="1" applyAlignment="1">
      <alignment vertical="center"/>
    </xf>
    <xf numFmtId="166" fontId="47" fillId="12" borderId="31" xfId="11" applyNumberFormat="1" applyFont="1" applyFill="1" applyBorder="1" applyAlignment="1">
      <alignment vertical="center"/>
    </xf>
    <xf numFmtId="166" fontId="47" fillId="11" borderId="14" xfId="11" applyNumberFormat="1" applyFont="1" applyFill="1" applyBorder="1"/>
    <xf numFmtId="166" fontId="47" fillId="11" borderId="34" xfId="11" applyNumberFormat="1" applyFont="1" applyFill="1" applyBorder="1"/>
    <xf numFmtId="166" fontId="47" fillId="11" borderId="33" xfId="11" applyNumberFormat="1" applyFont="1" applyFill="1" applyBorder="1"/>
    <xf numFmtId="166" fontId="47" fillId="11" borderId="11" xfId="11" applyNumberFormat="1" applyFont="1" applyFill="1" applyBorder="1"/>
    <xf numFmtId="166" fontId="47" fillId="11" borderId="13" xfId="11" applyNumberFormat="1" applyFont="1" applyFill="1" applyBorder="1"/>
    <xf numFmtId="166" fontId="47" fillId="11" borderId="27" xfId="11" applyNumberFormat="1" applyFont="1" applyFill="1" applyBorder="1"/>
    <xf numFmtId="165" fontId="44" fillId="11" borderId="15" xfId="11" applyNumberFormat="1" applyFont="1" applyFill="1" applyBorder="1"/>
    <xf numFmtId="165" fontId="47" fillId="11" borderId="15" xfId="11" applyNumberFormat="1" applyFont="1" applyFill="1" applyBorder="1"/>
    <xf numFmtId="166" fontId="47" fillId="12" borderId="15" xfId="10" applyNumberFormat="1" applyFont="1" applyFill="1" applyBorder="1" applyAlignment="1">
      <alignment horizontal="center"/>
    </xf>
    <xf numFmtId="166" fontId="47" fillId="12" borderId="15" xfId="11" applyNumberFormat="1" applyFont="1" applyFill="1" applyBorder="1"/>
    <xf numFmtId="166" fontId="47" fillId="12" borderId="15" xfId="10" applyNumberFormat="1" applyFont="1" applyFill="1" applyBorder="1"/>
    <xf numFmtId="166" fontId="47" fillId="12" borderId="22" xfId="10" applyNumberFormat="1" applyFont="1" applyFill="1" applyBorder="1"/>
    <xf numFmtId="166" fontId="47" fillId="12" borderId="29" xfId="10" applyNumberFormat="1" applyFont="1" applyFill="1" applyBorder="1"/>
    <xf numFmtId="166" fontId="47" fillId="12" borderId="28" xfId="11" applyNumberFormat="1" applyFont="1" applyFill="1" applyBorder="1"/>
    <xf numFmtId="166" fontId="47" fillId="12" borderId="29" xfId="11" applyNumberFormat="1" applyFont="1" applyFill="1" applyBorder="1"/>
    <xf numFmtId="165" fontId="47" fillId="12" borderId="15" xfId="11" applyNumberFormat="1" applyFont="1" applyFill="1" applyBorder="1"/>
    <xf numFmtId="166" fontId="47" fillId="0" borderId="15" xfId="11" applyNumberFormat="1" applyFont="1" applyFill="1" applyBorder="1"/>
    <xf numFmtId="166" fontId="47" fillId="0" borderId="15" xfId="10" applyNumberFormat="1" applyFont="1" applyFill="1" applyBorder="1"/>
    <xf numFmtId="166" fontId="47" fillId="0" borderId="22" xfId="10" applyNumberFormat="1" applyFont="1" applyFill="1" applyBorder="1"/>
    <xf numFmtId="166" fontId="47" fillId="0" borderId="29" xfId="10" applyNumberFormat="1" applyFont="1" applyFill="1" applyBorder="1"/>
    <xf numFmtId="166" fontId="47" fillId="0" borderId="28" xfId="11" applyNumberFormat="1" applyFont="1" applyFill="1" applyBorder="1"/>
    <xf numFmtId="166" fontId="47" fillId="0" borderId="29" xfId="11" applyNumberFormat="1" applyFont="1" applyFill="1" applyBorder="1"/>
    <xf numFmtId="165" fontId="47" fillId="0" borderId="15" xfId="11" applyNumberFormat="1" applyFont="1" applyFill="1" applyBorder="1"/>
    <xf numFmtId="0" fontId="47" fillId="0" borderId="0" xfId="10" applyFont="1" applyFill="1"/>
    <xf numFmtId="166" fontId="44" fillId="0" borderId="15" xfId="10" applyNumberFormat="1" applyFont="1" applyFill="1" applyBorder="1" applyAlignment="1">
      <alignment horizontal="center"/>
    </xf>
    <xf numFmtId="166" fontId="46" fillId="0" borderId="16" xfId="10" applyNumberFormat="1" applyFont="1" applyFill="1" applyBorder="1" applyAlignment="1">
      <alignment vertical="center"/>
    </xf>
    <xf numFmtId="166" fontId="44" fillId="9" borderId="19" xfId="11" applyNumberFormat="1" applyFont="1" applyFill="1" applyBorder="1"/>
    <xf numFmtId="166" fontId="44" fillId="9" borderId="17" xfId="10" applyNumberFormat="1" applyFont="1" applyFill="1" applyBorder="1"/>
    <xf numFmtId="166" fontId="44" fillId="9" borderId="36" xfId="10" applyNumberFormat="1" applyFont="1" applyFill="1" applyBorder="1"/>
    <xf numFmtId="166" fontId="44" fillId="9" borderId="37" xfId="10" applyNumberFormat="1" applyFont="1" applyFill="1" applyBorder="1"/>
    <xf numFmtId="166" fontId="44" fillId="9" borderId="38" xfId="11" applyNumberFormat="1" applyFont="1" applyFill="1" applyBorder="1"/>
    <xf numFmtId="166" fontId="44" fillId="9" borderId="17" xfId="11" applyNumberFormat="1" applyFont="1" applyFill="1" applyBorder="1"/>
    <xf numFmtId="166" fontId="44" fillId="9" borderId="37" xfId="11" applyNumberFormat="1" applyFont="1" applyFill="1" applyBorder="1"/>
    <xf numFmtId="166" fontId="46" fillId="9" borderId="16" xfId="10" applyNumberFormat="1" applyFont="1" applyFill="1" applyBorder="1" applyAlignment="1">
      <alignment vertical="center" wrapText="1"/>
    </xf>
    <xf numFmtId="0" fontId="6" fillId="0" borderId="0" xfId="0" applyFont="1" applyAlignment="1">
      <alignment horizontal="center"/>
    </xf>
    <xf numFmtId="0" fontId="4" fillId="0" borderId="0" xfId="0" applyFont="1" applyBorder="1" applyAlignment="1">
      <alignment horizontal="center"/>
    </xf>
    <xf numFmtId="0" fontId="12" fillId="5" borderId="0" xfId="0" applyFont="1" applyFill="1" applyAlignment="1">
      <alignment horizontal="center"/>
    </xf>
    <xf numFmtId="0" fontId="15" fillId="6" borderId="0" xfId="7" applyFont="1" applyFill="1" applyAlignment="1">
      <alignment horizontal="center" vertical="center" wrapText="1"/>
    </xf>
    <xf numFmtId="0" fontId="15" fillId="6" borderId="0" xfId="7" applyFont="1" applyFill="1" applyAlignment="1">
      <alignment horizontal="center" vertical="center"/>
    </xf>
    <xf numFmtId="0" fontId="15" fillId="6" borderId="0" xfId="7" applyFont="1" applyFill="1" applyAlignment="1">
      <alignment horizontal="center"/>
    </xf>
    <xf numFmtId="0" fontId="15" fillId="6" borderId="0" xfId="7" applyFont="1" applyFill="1" applyAlignment="1">
      <alignment horizontal="center" wrapText="1"/>
    </xf>
    <xf numFmtId="0" fontId="7" fillId="0" borderId="0" xfId="0" applyFont="1" applyAlignment="1">
      <alignment horizontal="center"/>
    </xf>
    <xf numFmtId="0" fontId="7" fillId="8" borderId="0" xfId="0" applyFont="1" applyFill="1" applyAlignment="1">
      <alignment horizontal="center"/>
    </xf>
    <xf numFmtId="0" fontId="11" fillId="0" borderId="0" xfId="0" applyFont="1" applyAlignment="1">
      <alignment horizontal="center"/>
    </xf>
    <xf numFmtId="0" fontId="4" fillId="0" borderId="0" xfId="0" applyFont="1" applyAlignment="1">
      <alignment horizontal="center"/>
    </xf>
    <xf numFmtId="0" fontId="22" fillId="8" borderId="0" xfId="0" applyFont="1" applyFill="1" applyAlignment="1">
      <alignment horizontal="center"/>
    </xf>
    <xf numFmtId="0" fontId="34" fillId="8" borderId="8" xfId="10" applyFont="1" applyFill="1" applyBorder="1" applyAlignment="1">
      <alignment horizontal="center" vertical="center"/>
    </xf>
    <xf numFmtId="0" fontId="34" fillId="8" borderId="10" xfId="10" applyFont="1" applyFill="1" applyBorder="1" applyAlignment="1">
      <alignment horizontal="center" vertical="center"/>
    </xf>
    <xf numFmtId="0" fontId="34" fillId="8" borderId="18" xfId="0" applyFont="1" applyFill="1" applyBorder="1" applyAlignment="1">
      <alignment horizontal="center" vertical="center"/>
    </xf>
    <xf numFmtId="0" fontId="34" fillId="8" borderId="2" xfId="0" applyFont="1" applyFill="1" applyBorder="1" applyAlignment="1">
      <alignment horizontal="center" vertical="center"/>
    </xf>
    <xf numFmtId="0" fontId="34" fillId="8" borderId="19" xfId="0" applyFont="1" applyFill="1" applyBorder="1" applyAlignment="1">
      <alignment horizontal="center" vertical="center"/>
    </xf>
    <xf numFmtId="0" fontId="34" fillId="8" borderId="7" xfId="10" applyFont="1" applyFill="1" applyBorder="1" applyAlignment="1">
      <alignment horizontal="center" vertical="center" wrapText="1"/>
    </xf>
    <xf numFmtId="0" fontId="34" fillId="8" borderId="11" xfId="10" applyFont="1" applyFill="1" applyBorder="1" applyAlignment="1">
      <alignment horizontal="center" vertical="center" wrapText="1"/>
    </xf>
    <xf numFmtId="0" fontId="34" fillId="8" borderId="12" xfId="10" applyFont="1" applyFill="1" applyBorder="1" applyAlignment="1">
      <alignment horizontal="center" vertical="center"/>
    </xf>
    <xf numFmtId="0" fontId="34" fillId="8" borderId="9" xfId="10" applyFont="1" applyFill="1" applyBorder="1" applyAlignment="1">
      <alignment horizontal="center" vertical="center" wrapText="1"/>
    </xf>
    <xf numFmtId="0" fontId="34" fillId="8" borderId="13" xfId="10" applyFont="1" applyFill="1" applyBorder="1" applyAlignment="1">
      <alignment horizontal="center" vertical="center" wrapText="1"/>
    </xf>
    <xf numFmtId="166" fontId="34" fillId="8" borderId="18" xfId="10" applyNumberFormat="1" applyFont="1" applyFill="1" applyBorder="1" applyAlignment="1">
      <alignment horizontal="center" vertical="center"/>
    </xf>
    <xf numFmtId="166" fontId="34" fillId="8" borderId="2" xfId="10" applyNumberFormat="1" applyFont="1" applyFill="1" applyBorder="1" applyAlignment="1">
      <alignment horizontal="center" vertical="center"/>
    </xf>
    <xf numFmtId="166" fontId="34" fillId="8" borderId="19" xfId="10" applyNumberFormat="1" applyFont="1" applyFill="1" applyBorder="1" applyAlignment="1">
      <alignment horizontal="center" vertical="center"/>
    </xf>
    <xf numFmtId="0" fontId="34" fillId="12" borderId="18" xfId="0" applyFont="1" applyFill="1" applyBorder="1" applyAlignment="1">
      <alignment horizontal="center" vertical="center"/>
    </xf>
    <xf numFmtId="0" fontId="34" fillId="12" borderId="2" xfId="0" applyFont="1" applyFill="1" applyBorder="1" applyAlignment="1">
      <alignment horizontal="center" vertical="center"/>
    </xf>
    <xf numFmtId="0" fontId="34" fillId="12" borderId="19" xfId="0" applyFont="1" applyFill="1" applyBorder="1" applyAlignment="1">
      <alignment horizontal="center" vertical="center"/>
    </xf>
    <xf numFmtId="166" fontId="34" fillId="12" borderId="18" xfId="10" applyNumberFormat="1" applyFont="1" applyFill="1" applyBorder="1" applyAlignment="1">
      <alignment horizontal="center" vertical="center"/>
    </xf>
    <xf numFmtId="166" fontId="34" fillId="12" borderId="2" xfId="10" applyNumberFormat="1" applyFont="1" applyFill="1" applyBorder="1" applyAlignment="1">
      <alignment horizontal="center" vertical="center"/>
    </xf>
    <xf numFmtId="0" fontId="39" fillId="11" borderId="7" xfId="10" applyFont="1" applyFill="1" applyBorder="1" applyAlignment="1">
      <alignment horizontal="center" vertical="center" wrapText="1"/>
    </xf>
    <xf numFmtId="0" fontId="39" fillId="11" borderId="11" xfId="10" applyFont="1" applyFill="1" applyBorder="1" applyAlignment="1">
      <alignment horizontal="center" vertical="center" wrapText="1"/>
    </xf>
    <xf numFmtId="0" fontId="39" fillId="11" borderId="8" xfId="10" applyFont="1" applyFill="1" applyBorder="1" applyAlignment="1">
      <alignment horizontal="center" vertical="center"/>
    </xf>
    <xf numFmtId="0" fontId="39" fillId="11" borderId="12" xfId="10" applyFont="1" applyFill="1" applyBorder="1" applyAlignment="1">
      <alignment horizontal="center" vertical="center"/>
    </xf>
    <xf numFmtId="0" fontId="39" fillId="11" borderId="9" xfId="10" applyFont="1" applyFill="1" applyBorder="1" applyAlignment="1">
      <alignment horizontal="center" vertical="center" wrapText="1"/>
    </xf>
    <xf numFmtId="0" fontId="39" fillId="11" borderId="13" xfId="10" applyFont="1" applyFill="1" applyBorder="1" applyAlignment="1">
      <alignment horizontal="center" vertical="center" wrapText="1"/>
    </xf>
    <xf numFmtId="0" fontId="39" fillId="11" borderId="20" xfId="10" applyFont="1" applyFill="1" applyBorder="1" applyAlignment="1">
      <alignment horizontal="center" vertical="center"/>
    </xf>
    <xf numFmtId="0" fontId="39" fillId="11" borderId="21" xfId="10" applyFont="1" applyFill="1" applyBorder="1" applyAlignment="1">
      <alignment horizontal="center" vertical="center"/>
    </xf>
    <xf numFmtId="0" fontId="45" fillId="11" borderId="20" xfId="10" applyFont="1" applyFill="1" applyBorder="1" applyAlignment="1">
      <alignment horizontal="center" vertical="center"/>
    </xf>
    <xf numFmtId="0" fontId="45" fillId="11" borderId="21" xfId="10" applyFont="1" applyFill="1" applyBorder="1" applyAlignment="1">
      <alignment horizontal="center" vertical="center"/>
    </xf>
    <xf numFmtId="166" fontId="45" fillId="9" borderId="18" xfId="10" applyNumberFormat="1" applyFont="1" applyFill="1" applyBorder="1" applyAlignment="1">
      <alignment horizontal="center" vertical="center"/>
    </xf>
    <xf numFmtId="166" fontId="45" fillId="9" borderId="2" xfId="10" applyNumberFormat="1" applyFont="1" applyFill="1" applyBorder="1" applyAlignment="1">
      <alignment horizontal="center" vertical="center"/>
    </xf>
    <xf numFmtId="166" fontId="45" fillId="9" borderId="19" xfId="10" applyNumberFormat="1" applyFont="1" applyFill="1" applyBorder="1" applyAlignment="1">
      <alignment horizontal="center" vertical="center"/>
    </xf>
    <xf numFmtId="0" fontId="45" fillId="11" borderId="7" xfId="10" applyFont="1" applyFill="1" applyBorder="1" applyAlignment="1">
      <alignment horizontal="center" vertical="center" wrapText="1"/>
    </xf>
    <xf numFmtId="0" fontId="45" fillId="11" borderId="11" xfId="10" applyFont="1" applyFill="1" applyBorder="1" applyAlignment="1">
      <alignment horizontal="center" vertical="center" wrapText="1"/>
    </xf>
    <xf numFmtId="0" fontId="34" fillId="11" borderId="8" xfId="10" applyFont="1" applyFill="1" applyBorder="1" applyAlignment="1">
      <alignment horizontal="center" vertical="center"/>
    </xf>
    <xf numFmtId="0" fontId="34" fillId="11" borderId="12" xfId="10" applyFont="1" applyFill="1" applyBorder="1" applyAlignment="1">
      <alignment horizontal="center" vertical="center"/>
    </xf>
    <xf numFmtId="0" fontId="45" fillId="11" borderId="9" xfId="10" applyFont="1" applyFill="1" applyBorder="1" applyAlignment="1">
      <alignment horizontal="center" vertical="center" wrapText="1"/>
    </xf>
    <xf numFmtId="0" fontId="45" fillId="11" borderId="13" xfId="10" applyFont="1" applyFill="1" applyBorder="1" applyAlignment="1">
      <alignment horizontal="center" vertical="center" wrapText="1"/>
    </xf>
    <xf numFmtId="166" fontId="45" fillId="11" borderId="18" xfId="10" applyNumberFormat="1" applyFont="1" applyFill="1" applyBorder="1" applyAlignment="1">
      <alignment horizontal="center" vertical="center"/>
    </xf>
    <xf numFmtId="166" fontId="45" fillId="11" borderId="2" xfId="10" applyNumberFormat="1" applyFont="1" applyFill="1" applyBorder="1" applyAlignment="1">
      <alignment horizontal="center" vertical="center"/>
    </xf>
    <xf numFmtId="166" fontId="45" fillId="11" borderId="19" xfId="10" applyNumberFormat="1" applyFont="1" applyFill="1" applyBorder="1" applyAlignment="1">
      <alignment horizontal="center" vertical="center"/>
    </xf>
    <xf numFmtId="0" fontId="45" fillId="11" borderId="8" xfId="10" applyFont="1" applyFill="1" applyBorder="1" applyAlignment="1">
      <alignment horizontal="center" vertical="center"/>
    </xf>
    <xf numFmtId="0" fontId="45" fillId="11" borderId="12" xfId="10" applyFont="1" applyFill="1" applyBorder="1" applyAlignment="1">
      <alignment horizontal="center" vertical="center"/>
    </xf>
    <xf numFmtId="0" fontId="34" fillId="12" borderId="39" xfId="0" applyFont="1" applyFill="1" applyBorder="1" applyAlignment="1">
      <alignment horizontal="center" vertical="center"/>
    </xf>
    <xf numFmtId="0" fontId="39" fillId="11" borderId="40" xfId="10" applyFont="1" applyFill="1" applyBorder="1" applyAlignment="1">
      <alignment horizontal="center" vertical="center" wrapText="1"/>
    </xf>
    <xf numFmtId="0" fontId="39" fillId="11" borderId="41" xfId="10" applyFont="1" applyFill="1" applyBorder="1" applyAlignment="1">
      <alignment horizontal="center" vertical="center" wrapText="1"/>
    </xf>
    <xf numFmtId="0" fontId="39" fillId="11" borderId="23" xfId="10" applyFont="1" applyFill="1" applyBorder="1" applyAlignment="1">
      <alignment horizontal="center" vertical="center" wrapText="1"/>
    </xf>
    <xf numFmtId="0" fontId="39" fillId="11" borderId="24" xfId="10" applyFont="1" applyFill="1" applyBorder="1" applyAlignment="1">
      <alignment horizontal="center" vertical="center" wrapText="1"/>
    </xf>
    <xf numFmtId="0" fontId="39" fillId="11" borderId="25" xfId="10" applyFont="1" applyFill="1" applyBorder="1" applyAlignment="1">
      <alignment horizontal="center" vertical="center" wrapText="1"/>
    </xf>
    <xf numFmtId="166" fontId="40" fillId="12" borderId="18" xfId="11" applyNumberFormat="1" applyFont="1" applyFill="1" applyBorder="1"/>
    <xf numFmtId="166" fontId="36" fillId="9" borderId="18" xfId="11" applyNumberFormat="1" applyFont="1" applyFill="1" applyBorder="1"/>
    <xf numFmtId="166" fontId="36" fillId="12" borderId="18" xfId="11" applyNumberFormat="1" applyFont="1" applyFill="1" applyBorder="1"/>
    <xf numFmtId="166" fontId="34" fillId="12" borderId="18" xfId="11" applyNumberFormat="1" applyFont="1" applyFill="1" applyBorder="1" applyAlignment="1">
      <alignment vertical="center"/>
    </xf>
    <xf numFmtId="166" fontId="34" fillId="12" borderId="18" xfId="11" applyNumberFormat="1" applyFont="1" applyFill="1" applyBorder="1"/>
    <xf numFmtId="0" fontId="39" fillId="11" borderId="42" xfId="10" applyFont="1" applyFill="1" applyBorder="1" applyAlignment="1">
      <alignment horizontal="center" vertical="center"/>
    </xf>
    <xf numFmtId="166" fontId="40" fillId="9" borderId="5" xfId="10" applyNumberFormat="1" applyFont="1" applyFill="1" applyBorder="1"/>
    <xf numFmtId="166" fontId="39" fillId="12" borderId="2" xfId="10" applyNumberFormat="1" applyFont="1" applyFill="1" applyBorder="1"/>
    <xf numFmtId="166" fontId="36" fillId="9" borderId="5" xfId="10" applyNumberFormat="1" applyFont="1" applyFill="1" applyBorder="1"/>
    <xf numFmtId="166" fontId="34" fillId="12" borderId="2" xfId="10" applyNumberFormat="1" applyFont="1" applyFill="1" applyBorder="1"/>
    <xf numFmtId="166" fontId="34" fillId="12" borderId="2" xfId="10" applyNumberFormat="1" applyFont="1" applyFill="1" applyBorder="1" applyAlignment="1">
      <alignment vertical="center"/>
    </xf>
    <xf numFmtId="166" fontId="37" fillId="12" borderId="43" xfId="11" applyNumberFormat="1" applyFont="1" applyFill="1" applyBorder="1"/>
    <xf numFmtId="0" fontId="39" fillId="11" borderId="41" xfId="10" applyFont="1" applyFill="1" applyBorder="1" applyAlignment="1">
      <alignment horizontal="center" vertical="center" wrapText="1"/>
    </xf>
    <xf numFmtId="0" fontId="39" fillId="11" borderId="23" xfId="10" applyFont="1" applyFill="1" applyBorder="1" applyAlignment="1">
      <alignment horizontal="center" vertical="center" wrapText="1"/>
    </xf>
    <xf numFmtId="166" fontId="40" fillId="12" borderId="30" xfId="11" applyNumberFormat="1" applyFont="1" applyFill="1" applyBorder="1"/>
    <xf numFmtId="166" fontId="36" fillId="9" borderId="28" xfId="11" applyNumberFormat="1" applyFont="1" applyFill="1" applyBorder="1"/>
    <xf numFmtId="166" fontId="36" fillId="12" borderId="30" xfId="11" applyNumberFormat="1" applyFont="1" applyFill="1" applyBorder="1"/>
    <xf numFmtId="166" fontId="34" fillId="12" borderId="30" xfId="11" applyNumberFormat="1" applyFont="1" applyFill="1" applyBorder="1" applyAlignment="1">
      <alignment vertical="center"/>
    </xf>
    <xf numFmtId="166" fontId="34" fillId="12" borderId="30" xfId="11" applyNumberFormat="1" applyFont="1" applyFill="1" applyBorder="1"/>
    <xf numFmtId="166" fontId="34" fillId="12" borderId="32" xfId="10" applyNumberFormat="1" applyFont="1" applyFill="1" applyBorder="1" applyAlignment="1">
      <alignment horizontal="center" vertical="center"/>
    </xf>
    <xf numFmtId="166" fontId="34" fillId="12" borderId="26" xfId="10" applyNumberFormat="1" applyFont="1" applyFill="1" applyBorder="1" applyAlignment="1">
      <alignment horizontal="center" vertical="center"/>
    </xf>
    <xf numFmtId="0" fontId="39" fillId="11" borderId="44" xfId="10" applyFont="1" applyFill="1" applyBorder="1" applyAlignment="1">
      <alignment horizontal="center" vertical="center"/>
    </xf>
    <xf numFmtId="0" fontId="39" fillId="11" borderId="45" xfId="10" applyFont="1" applyFill="1" applyBorder="1" applyAlignment="1">
      <alignment horizontal="center" vertical="center"/>
    </xf>
    <xf numFmtId="0" fontId="39" fillId="11" borderId="42" xfId="10" applyFont="1" applyFill="1" applyBorder="1" applyAlignment="1">
      <alignment horizontal="center" vertical="center"/>
    </xf>
    <xf numFmtId="0" fontId="39" fillId="11" borderId="25" xfId="10" applyFont="1" applyFill="1" applyBorder="1" applyAlignment="1">
      <alignment horizontal="center" vertical="center"/>
    </xf>
    <xf numFmtId="166" fontId="39" fillId="12" borderId="22" xfId="10" applyNumberFormat="1" applyFont="1" applyFill="1" applyBorder="1"/>
    <xf numFmtId="166" fontId="34" fillId="12" borderId="22" xfId="10" applyNumberFormat="1" applyFont="1" applyFill="1" applyBorder="1"/>
    <xf numFmtId="166" fontId="34" fillId="12" borderId="22" xfId="10" applyNumberFormat="1" applyFont="1" applyFill="1" applyBorder="1" applyAlignment="1">
      <alignment vertical="center"/>
    </xf>
    <xf numFmtId="166" fontId="37" fillId="12" borderId="36" xfId="11" applyNumberFormat="1" applyFont="1" applyFill="1" applyBorder="1"/>
    <xf numFmtId="3" fontId="34" fillId="12" borderId="12" xfId="0" applyNumberFormat="1" applyFont="1" applyFill="1" applyBorder="1" applyAlignment="1">
      <alignment vertical="center"/>
    </xf>
    <xf numFmtId="0" fontId="45" fillId="11" borderId="45" xfId="10" applyFont="1" applyFill="1" applyBorder="1" applyAlignment="1">
      <alignment horizontal="center" vertical="center"/>
    </xf>
    <xf numFmtId="0" fontId="45" fillId="11" borderId="42" xfId="10" applyFont="1" applyFill="1" applyBorder="1" applyAlignment="1">
      <alignment horizontal="center" vertical="center"/>
    </xf>
    <xf numFmtId="0" fontId="45" fillId="11" borderId="42" xfId="10" applyFont="1" applyFill="1" applyBorder="1" applyAlignment="1">
      <alignment horizontal="center" vertical="center"/>
    </xf>
    <xf numFmtId="0" fontId="45" fillId="11" borderId="44" xfId="10" applyFont="1" applyFill="1" applyBorder="1" applyAlignment="1">
      <alignment horizontal="center" vertical="center" wrapText="1"/>
    </xf>
    <xf numFmtId="0" fontId="45" fillId="11" borderId="45" xfId="10" applyFont="1" applyFill="1" applyBorder="1" applyAlignment="1">
      <alignment horizontal="center" vertical="center" wrapText="1"/>
    </xf>
    <xf numFmtId="0" fontId="45" fillId="11" borderId="42" xfId="10" applyFont="1" applyFill="1" applyBorder="1" applyAlignment="1">
      <alignment horizontal="center" vertical="center" wrapText="1"/>
    </xf>
    <xf numFmtId="0" fontId="45" fillId="11" borderId="44" xfId="10" applyFont="1" applyFill="1" applyBorder="1" applyAlignment="1">
      <alignment horizontal="center" vertical="center"/>
    </xf>
    <xf numFmtId="0" fontId="45" fillId="11" borderId="41" xfId="10" applyFont="1" applyFill="1" applyBorder="1" applyAlignment="1">
      <alignment horizontal="center" vertical="center" wrapText="1"/>
    </xf>
    <xf numFmtId="0" fontId="45" fillId="11" borderId="23" xfId="10" applyFont="1" applyFill="1" applyBorder="1" applyAlignment="1">
      <alignment horizontal="center" vertical="center" wrapText="1"/>
    </xf>
    <xf numFmtId="0" fontId="45" fillId="11" borderId="25" xfId="10" applyFont="1" applyFill="1" applyBorder="1" applyAlignment="1">
      <alignment horizontal="center" vertical="center"/>
    </xf>
    <xf numFmtId="0" fontId="45" fillId="11" borderId="41" xfId="10" applyFont="1" applyFill="1" applyBorder="1" applyAlignment="1">
      <alignment horizontal="center" vertical="center" wrapText="1"/>
    </xf>
    <xf numFmtId="0" fontId="45" fillId="11" borderId="23" xfId="10" applyFont="1" applyFill="1" applyBorder="1" applyAlignment="1">
      <alignment horizontal="center" vertical="center" wrapText="1"/>
    </xf>
    <xf numFmtId="0" fontId="45" fillId="11" borderId="24" xfId="10" applyFont="1" applyFill="1" applyBorder="1" applyAlignment="1">
      <alignment horizontal="center" vertical="center" wrapText="1"/>
    </xf>
  </cellXfs>
  <cellStyles count="12">
    <cellStyle name="Comma" xfId="1" builtinId="3"/>
    <cellStyle name="Comma 2" xfId="5"/>
    <cellStyle name="Comma 3" xfId="8"/>
    <cellStyle name="Comma 4" xfId="11"/>
    <cellStyle name="Currency" xfId="2" builtinId="4"/>
    <cellStyle name="Normal" xfId="0" builtinId="0"/>
    <cellStyle name="Normal 2" xfId="6"/>
    <cellStyle name="Normal 3" xfId="7"/>
    <cellStyle name="Normal 4" xfId="10"/>
    <cellStyle name="Output" xfId="4" builtinId="21"/>
    <cellStyle name="Percent" xfId="3" builtinId="5"/>
    <cellStyle name="Percent 2" xfId="9"/>
  </cellStyles>
  <dxfs count="0"/>
  <tableStyles count="0" defaultTableStyle="TableStyleMedium2" defaultPivotStyle="PivotStyleLight16"/>
  <colors>
    <mruColors>
      <color rgb="FF00FFCC"/>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0.16623829144065871"/>
          <c:y val="3.8741863867689262E-2"/>
          <c:w val="0.81743912857753098"/>
          <c:h val="0.78277820766084205"/>
        </c:manualLayout>
      </c:layout>
      <c:barChart>
        <c:barDir val="col"/>
        <c:grouping val="clustered"/>
        <c:varyColors val="0"/>
        <c:ser>
          <c:idx val="0"/>
          <c:order val="0"/>
          <c:tx>
            <c:strRef>
              <c:f>Impacto!$C$133</c:f>
              <c:strCache>
                <c:ptCount val="1"/>
                <c:pt idx="0">
                  <c:v>Importação</c:v>
                </c:pt>
              </c:strCache>
            </c:strRef>
          </c:tx>
          <c:spPr>
            <a:solidFill>
              <a:schemeClr val="dk1">
                <a:tint val="88500"/>
              </a:schemeClr>
            </a:solidFill>
            <a:ln>
              <a:noFill/>
            </a:ln>
            <a:effectLst/>
          </c:spPr>
          <c:invertIfNegative val="0"/>
          <c:trendline>
            <c:spPr>
              <a:ln w="19050" cap="rnd">
                <a:solidFill>
                  <a:schemeClr val="tx1">
                    <a:lumMod val="65000"/>
                    <a:lumOff val="35000"/>
                  </a:schemeClr>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trendlineLbl>
          </c:trendline>
          <c:cat>
            <c:numRef>
              <c:f>Impacto!$B$134:$B$137</c:f>
              <c:numCache>
                <c:formatCode>General</c:formatCode>
                <c:ptCount val="4"/>
                <c:pt idx="0" formatCode="0">
                  <c:v>2015</c:v>
                </c:pt>
                <c:pt idx="1">
                  <c:v>2016</c:v>
                </c:pt>
                <c:pt idx="2">
                  <c:v>2017</c:v>
                </c:pt>
                <c:pt idx="3">
                  <c:v>2018</c:v>
                </c:pt>
              </c:numCache>
            </c:numRef>
          </c:cat>
          <c:val>
            <c:numRef>
              <c:f>Impacto!$C$134:$C$137</c:f>
              <c:numCache>
                <c:formatCode>_-* #,##0\ _€_-;\-* #,##0\ _€_-;_-* "-"??\ _€_-;_-@_-</c:formatCode>
                <c:ptCount val="4"/>
                <c:pt idx="0">
                  <c:v>945597.81616396201</c:v>
                </c:pt>
                <c:pt idx="1">
                  <c:v>780000.72849699401</c:v>
                </c:pt>
                <c:pt idx="2">
                  <c:v>851605.5554603046</c:v>
                </c:pt>
                <c:pt idx="3">
                  <c:v>1077285.8879060089</c:v>
                </c:pt>
              </c:numCache>
            </c:numRef>
          </c:val>
          <c:extLst xmlns:c16r2="http://schemas.microsoft.com/office/drawing/2015/06/chart">
            <c:ext xmlns:c16="http://schemas.microsoft.com/office/drawing/2014/chart" uri="{C3380CC4-5D6E-409C-BE32-E72D297353CC}">
              <c16:uniqueId val="{00000001-C71A-734B-AE1F-F237515B9421}"/>
            </c:ext>
          </c:extLst>
        </c:ser>
        <c:ser>
          <c:idx val="1"/>
          <c:order val="1"/>
          <c:tx>
            <c:strRef>
              <c:f>Impacto!$D$133</c:f>
              <c:strCache>
                <c:ptCount val="1"/>
                <c:pt idx="0">
                  <c:v>Exportação</c:v>
                </c:pt>
              </c:strCache>
            </c:strRef>
          </c:tx>
          <c:spPr>
            <a:solidFill>
              <a:schemeClr val="dk1">
                <a:tint val="55000"/>
              </a:schemeClr>
            </a:solidFill>
            <a:ln>
              <a:noFill/>
            </a:ln>
            <a:effectLst/>
          </c:spPr>
          <c:invertIfNegative val="0"/>
          <c:trendline>
            <c:spPr>
              <a:ln w="19050" cap="rnd">
                <a:solidFill>
                  <a:schemeClr val="tx1">
                    <a:lumMod val="65000"/>
                    <a:lumOff val="35000"/>
                  </a:schemeClr>
                </a:solidFill>
                <a:prstDash val="dashDot"/>
              </a:ln>
              <a:effectLst/>
            </c:spPr>
            <c:trendlineType val="linear"/>
            <c:dispRSqr val="0"/>
            <c:dispEq val="1"/>
            <c:trendlineLbl>
              <c:layout>
                <c:manualLayout>
                  <c:x val="-6.5900109082037736E-2"/>
                  <c:y val="-4.9010178578187458E-2"/>
                </c:manualLayout>
              </c:layout>
              <c:numFmt formatCode="General" sourceLinked="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trendlineLbl>
          </c:trendline>
          <c:cat>
            <c:numRef>
              <c:f>Impacto!$B$134:$B$137</c:f>
              <c:numCache>
                <c:formatCode>General</c:formatCode>
                <c:ptCount val="4"/>
                <c:pt idx="0" formatCode="0">
                  <c:v>2015</c:v>
                </c:pt>
                <c:pt idx="1">
                  <c:v>2016</c:v>
                </c:pt>
                <c:pt idx="2">
                  <c:v>2017</c:v>
                </c:pt>
                <c:pt idx="3">
                  <c:v>2018</c:v>
                </c:pt>
              </c:numCache>
            </c:numRef>
          </c:cat>
          <c:val>
            <c:numRef>
              <c:f>Impacto!$D$134:$D$137</c:f>
              <c:numCache>
                <c:formatCode>_-* #,##0\ _€_-;\-* #,##0\ _€_-;_-* "-"??\ _€_-;_-@_-</c:formatCode>
                <c:ptCount val="4"/>
                <c:pt idx="0">
                  <c:v>587711.12271992001</c:v>
                </c:pt>
                <c:pt idx="1">
                  <c:v>451569.85453000001</c:v>
                </c:pt>
                <c:pt idx="2">
                  <c:v>548141.89070036495</c:v>
                </c:pt>
                <c:pt idx="3">
                  <c:v>552630.214484</c:v>
                </c:pt>
              </c:numCache>
            </c:numRef>
          </c:val>
          <c:extLst xmlns:c16r2="http://schemas.microsoft.com/office/drawing/2015/06/chart">
            <c:ext xmlns:c16="http://schemas.microsoft.com/office/drawing/2014/chart" uri="{C3380CC4-5D6E-409C-BE32-E72D297353CC}">
              <c16:uniqueId val="{00000003-C71A-734B-AE1F-F237515B9421}"/>
            </c:ext>
          </c:extLst>
        </c:ser>
        <c:dLbls>
          <c:showLegendKey val="0"/>
          <c:showVal val="0"/>
          <c:showCatName val="0"/>
          <c:showSerName val="0"/>
          <c:showPercent val="0"/>
          <c:showBubbleSize val="0"/>
        </c:dLbls>
        <c:gapWidth val="219"/>
        <c:overlap val="-27"/>
        <c:axId val="271582216"/>
        <c:axId val="271582608"/>
      </c:barChart>
      <c:catAx>
        <c:axId val="271582216"/>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crossAx val="271582608"/>
        <c:crosses val="autoZero"/>
        <c:auto val="1"/>
        <c:lblAlgn val="ctr"/>
        <c:lblOffset val="100"/>
        <c:noMultiLvlLbl val="0"/>
      </c:catAx>
      <c:valAx>
        <c:axId val="2715826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1" i="0" u="none" strike="noStrike" kern="1200" baseline="0">
                    <a:solidFill>
                      <a:schemeClr val="tx1">
                        <a:lumMod val="65000"/>
                        <a:lumOff val="35000"/>
                      </a:schemeClr>
                    </a:solidFill>
                    <a:latin typeface="Avenir Next" panose="020B0503020202020204" pitchFamily="34" charset="0"/>
                    <a:ea typeface="+mn-ea"/>
                    <a:cs typeface="+mn-cs"/>
                  </a:defRPr>
                </a:pPr>
                <a:r>
                  <a:rPr lang="en-US" b="1"/>
                  <a:t>USD</a:t>
                </a:r>
                <a:r>
                  <a:rPr lang="en-US" b="1" baseline="0"/>
                  <a:t> ^1000</a:t>
                </a:r>
              </a:p>
            </c:rich>
          </c:tx>
          <c:layout>
            <c:manualLayout>
              <c:xMode val="edge"/>
              <c:yMode val="edge"/>
              <c:x val="2.5225805426434121E-2"/>
              <c:y val="7.8907480391441742E-2"/>
            </c:manualLayout>
          </c:layout>
          <c:overlay val="0"/>
          <c:spPr>
            <a:noFill/>
            <a:ln>
              <a:noFill/>
            </a:ln>
            <a:effectLst/>
          </c:spPr>
          <c:txPr>
            <a:bodyPr rot="0" spcFirstLastPara="1" vertOverflow="ellipsis" wrap="square" anchor="ctr" anchorCtr="1"/>
            <a:lstStyle/>
            <a:p>
              <a:pPr>
                <a:defRPr sz="1000" b="1"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title>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crossAx val="271582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venir Next" panose="020B0503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emf"/><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595243</xdr:colOff>
      <xdr:row>131</xdr:row>
      <xdr:rowOff>77857</xdr:rowOff>
    </xdr:from>
    <xdr:to>
      <xdr:col>10</xdr:col>
      <xdr:colOff>1539461</xdr:colOff>
      <xdr:row>152</xdr:row>
      <xdr:rowOff>8835</xdr:rowOff>
    </xdr:to>
    <xdr:graphicFrame macro="">
      <xdr:nvGraphicFramePr>
        <xdr:cNvPr id="4" name="Chart 3">
          <a:extLst>
            <a:ext uri="{FF2B5EF4-FFF2-40B4-BE49-F238E27FC236}">
              <a16:creationId xmlns="" xmlns:a16="http://schemas.microsoft.com/office/drawing/2014/main" id="{68872111-DCD7-3746-9FFF-71F8FFF2A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127000</xdr:colOff>
      <xdr:row>107</xdr:row>
      <xdr:rowOff>50800</xdr:rowOff>
    </xdr:from>
    <xdr:to>
      <xdr:col>5</xdr:col>
      <xdr:colOff>406400</xdr:colOff>
      <xdr:row>122</xdr:row>
      <xdr:rowOff>139700</xdr:rowOff>
    </xdr:to>
    <xdr:pic>
      <xdr:nvPicPr>
        <xdr:cNvPr id="5" name="Picture 4">
          <a:extLst>
            <a:ext uri="{FF2B5EF4-FFF2-40B4-BE49-F238E27FC236}">
              <a16:creationId xmlns="" xmlns:a16="http://schemas.microsoft.com/office/drawing/2014/main" id="{A5EA5F48-D74B-F147-A193-CB6CAC0E1617}"/>
            </a:ext>
          </a:extLst>
        </xdr:cNvPr>
        <xdr:cNvPicPr>
          <a:picLocks noChangeAspect="1"/>
        </xdr:cNvPicPr>
      </xdr:nvPicPr>
      <xdr:blipFill>
        <a:blip xmlns:r="http://schemas.openxmlformats.org/officeDocument/2006/relationships" r:embed="rId2"/>
        <a:stretch>
          <a:fillRect/>
        </a:stretch>
      </xdr:blipFill>
      <xdr:spPr>
        <a:xfrm>
          <a:off x="127000" y="31762700"/>
          <a:ext cx="8102600" cy="3136900"/>
        </a:xfrm>
        <a:prstGeom prst="rect">
          <a:avLst/>
        </a:prstGeom>
      </xdr:spPr>
    </xdr:pic>
    <xdr:clientData/>
  </xdr:twoCellAnchor>
  <xdr:twoCellAnchor editAs="oneCell">
    <xdr:from>
      <xdr:col>5</xdr:col>
      <xdr:colOff>1092200</xdr:colOff>
      <xdr:row>107</xdr:row>
      <xdr:rowOff>50800</xdr:rowOff>
    </xdr:from>
    <xdr:to>
      <xdr:col>13</xdr:col>
      <xdr:colOff>571500</xdr:colOff>
      <xdr:row>122</xdr:row>
      <xdr:rowOff>152400</xdr:rowOff>
    </xdr:to>
    <xdr:pic>
      <xdr:nvPicPr>
        <xdr:cNvPr id="6" name="Picture 5">
          <a:extLst>
            <a:ext uri="{FF2B5EF4-FFF2-40B4-BE49-F238E27FC236}">
              <a16:creationId xmlns="" xmlns:a16="http://schemas.microsoft.com/office/drawing/2014/main" id="{6280A512-D4B7-1B4E-AAEE-EB88578C0EE3}"/>
            </a:ext>
          </a:extLst>
        </xdr:cNvPr>
        <xdr:cNvPicPr>
          <a:picLocks noChangeAspect="1"/>
        </xdr:cNvPicPr>
      </xdr:nvPicPr>
      <xdr:blipFill>
        <a:blip xmlns:r="http://schemas.openxmlformats.org/officeDocument/2006/relationships" r:embed="rId3"/>
        <a:stretch>
          <a:fillRect/>
        </a:stretch>
      </xdr:blipFill>
      <xdr:spPr>
        <a:xfrm>
          <a:off x="8915400" y="23901400"/>
          <a:ext cx="9702800" cy="3149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costa.chm/OneDrive/DeskTop/MADER%202020/Resumo%20da%20produ&#231;&#227;o%20e%20impactos%2002.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849ef8901ce5815d/DeskTop/MADER%202020/Resumo%20da%20produc&#807;a&#771;o%20e%20impactos%2026.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849ef8901ce5815d/DeskTop/MADER%202020/Orc&#807;amento%20de%20Culturas%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supostos"/>
      <sheetName val="Impacto"/>
      <sheetName val="Impacto Agricultura"/>
      <sheetName val="Sheet1"/>
      <sheetName val="Projecção de semente"/>
      <sheetName val="PES"/>
      <sheetName val="Evolução da produtividade"/>
      <sheetName val="Arroz e Feijão"/>
      <sheetName val="Milho e Feijão"/>
      <sheetName val="Girassol"/>
      <sheetName val="Soja"/>
      <sheetName val="Gergelim"/>
      <sheetName val="Corredores e Culturas"/>
      <sheetName val="Corredores e distritos alvos"/>
      <sheetName val="Bovinos"/>
      <sheetName val="Caprino"/>
      <sheetName val="Suinos"/>
      <sheetName val="Avicultura"/>
      <sheetName val="Impacto nas familias Pecuaria"/>
      <sheetName val="Produção SADC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6">
          <cell r="C36">
            <v>315904</v>
          </cell>
        </row>
        <row r="38">
          <cell r="C38">
            <v>385104.1</v>
          </cell>
          <cell r="D38">
            <v>840674.90833333344</v>
          </cell>
          <cell r="E38">
            <v>1154507.5333333334</v>
          </cell>
          <cell r="F38">
            <v>1418288.6500000001</v>
          </cell>
          <cell r="G38">
            <v>1597843.0250000001</v>
          </cell>
        </row>
        <row r="63">
          <cell r="C63">
            <v>4655908569</v>
          </cell>
          <cell r="D63">
            <v>10163759641.750002</v>
          </cell>
          <cell r="E63">
            <v>13957996078.000002</v>
          </cell>
          <cell r="F63">
            <v>17147109778.5</v>
          </cell>
          <cell r="G63">
            <v>19317922172.25</v>
          </cell>
        </row>
        <row r="66">
          <cell r="C66">
            <v>2392809.666666667</v>
          </cell>
        </row>
        <row r="67">
          <cell r="C67">
            <v>3423.1475555555558</v>
          </cell>
          <cell r="D67">
            <v>7472.6658518518525</v>
          </cell>
          <cell r="E67">
            <v>10262.289185185185</v>
          </cell>
          <cell r="F67">
            <v>12607.010222222223</v>
          </cell>
          <cell r="G67">
            <v>14203.049111111113</v>
          </cell>
        </row>
        <row r="68">
          <cell r="C68">
            <v>12836.803333333333</v>
          </cell>
          <cell r="D68">
            <v>28022.496944444447</v>
          </cell>
          <cell r="E68">
            <v>38483.584444444445</v>
          </cell>
          <cell r="F68">
            <v>47276.288333333338</v>
          </cell>
          <cell r="G68">
            <v>53261.434166666673</v>
          </cell>
        </row>
        <row r="76">
          <cell r="C76">
            <v>126361.60000000001</v>
          </cell>
          <cell r="D76">
            <v>193926.85</v>
          </cell>
          <cell r="E76">
            <v>326176.3</v>
          </cell>
          <cell r="F76">
            <v>405130.5</v>
          </cell>
          <cell r="G76">
            <v>405130.5</v>
          </cell>
        </row>
        <row r="102">
          <cell r="C102">
            <v>2507014144</v>
          </cell>
          <cell r="D102">
            <v>3847508704</v>
          </cell>
          <cell r="E102">
            <v>6471337792</v>
          </cell>
          <cell r="F102">
            <v>8037789120</v>
          </cell>
          <cell r="G102">
            <v>8037789120</v>
          </cell>
        </row>
        <row r="105">
          <cell r="C105">
            <v>2242374.666666667</v>
          </cell>
        </row>
        <row r="106">
          <cell r="C106">
            <v>1123.2142222222221</v>
          </cell>
          <cell r="D106">
            <v>1723.7942222222223</v>
          </cell>
          <cell r="E106">
            <v>2899.3448888888888</v>
          </cell>
          <cell r="F106">
            <v>3601.1600000000003</v>
          </cell>
          <cell r="G106">
            <v>3601.1600000000003</v>
          </cell>
        </row>
        <row r="110">
          <cell r="C110">
            <v>17048.856666666667</v>
          </cell>
          <cell r="D110">
            <v>34486.725277777783</v>
          </cell>
          <cell r="E110">
            <v>49356.12777777778</v>
          </cell>
          <cell r="F110">
            <v>60780.638333333336</v>
          </cell>
          <cell r="G110">
            <v>66765.784166666679</v>
          </cell>
        </row>
      </sheetData>
      <sheetData sheetId="8" refreshError="1">
        <row r="36">
          <cell r="C36">
            <v>1841034.94</v>
          </cell>
        </row>
        <row r="40">
          <cell r="C40">
            <v>2210880</v>
          </cell>
          <cell r="D40">
            <v>2501467.1700000004</v>
          </cell>
          <cell r="E40">
            <v>2752776.5100000007</v>
          </cell>
          <cell r="F40">
            <v>3291758.74</v>
          </cell>
          <cell r="G40">
            <v>3589272.75</v>
          </cell>
        </row>
        <row r="65">
          <cell r="C65">
            <v>33163200</v>
          </cell>
          <cell r="D65">
            <v>25014671700.000004</v>
          </cell>
          <cell r="E65">
            <v>27527765100.000008</v>
          </cell>
          <cell r="F65">
            <v>32917587400.000004</v>
          </cell>
          <cell r="G65">
            <v>35892727500</v>
          </cell>
        </row>
        <row r="70">
          <cell r="C70">
            <v>73696</v>
          </cell>
          <cell r="D70">
            <v>83382.239000000016</v>
          </cell>
          <cell r="E70">
            <v>91759.217000000019</v>
          </cell>
          <cell r="F70">
            <v>109725.29133333334</v>
          </cell>
          <cell r="G70">
            <v>119642.425</v>
          </cell>
        </row>
        <row r="76">
          <cell r="C76">
            <v>245471.32533333334</v>
          </cell>
          <cell r="D76">
            <v>444689.41600000008</v>
          </cell>
          <cell r="E76">
            <v>731618.4646666667</v>
          </cell>
          <cell r="F76">
            <v>917535.0560000001</v>
          </cell>
          <cell r="G76">
            <v>917535.0560000001</v>
          </cell>
        </row>
        <row r="96">
          <cell r="C96">
            <v>2945655904</v>
          </cell>
          <cell r="D96">
            <v>8893788320.0000019</v>
          </cell>
          <cell r="E96">
            <v>14632369293.333334</v>
          </cell>
          <cell r="F96">
            <v>18350701120.000004</v>
          </cell>
          <cell r="G96">
            <v>18350701120.000004</v>
          </cell>
        </row>
        <row r="99">
          <cell r="C99">
            <v>3682069.88</v>
          </cell>
        </row>
        <row r="100">
          <cell r="C100">
            <v>2181.9673362962967</v>
          </cell>
          <cell r="D100">
            <v>3952.7948088888902</v>
          </cell>
          <cell r="E100">
            <v>6503.2752414814813</v>
          </cell>
          <cell r="F100">
            <v>8155.8671644444448</v>
          </cell>
          <cell r="G100">
            <v>8155.8671644444448</v>
          </cell>
        </row>
        <row r="101">
          <cell r="C101">
            <v>8182.3775111111117</v>
          </cell>
          <cell r="D101">
            <v>14822.980533333337</v>
          </cell>
          <cell r="E101">
            <v>24387.282155555557</v>
          </cell>
          <cell r="F101">
            <v>30584.501866666669</v>
          </cell>
          <cell r="G101">
            <v>30584.501866666669</v>
          </cell>
        </row>
      </sheetData>
      <sheetData sheetId="9" refreshError="1">
        <row r="40">
          <cell r="C40">
            <v>16893.939393939396</v>
          </cell>
        </row>
        <row r="44">
          <cell r="C44">
            <v>23643.939393939396</v>
          </cell>
          <cell r="D44">
            <v>166544.11764705885</v>
          </cell>
          <cell r="E44">
            <v>527247.05882352951</v>
          </cell>
          <cell r="F44">
            <v>719400</v>
          </cell>
          <cell r="G44">
            <v>754800</v>
          </cell>
        </row>
        <row r="69">
          <cell r="C69">
            <v>513073484.84848487</v>
          </cell>
          <cell r="D69">
            <v>3663970588.2352948</v>
          </cell>
          <cell r="E69">
            <v>11599435294.117649</v>
          </cell>
          <cell r="F69">
            <v>15826800000</v>
          </cell>
          <cell r="G69">
            <v>16605600000</v>
          </cell>
        </row>
        <row r="72">
          <cell r="C72">
            <v>35100</v>
          </cell>
        </row>
        <row r="73">
          <cell r="C73">
            <v>210.16835016835017</v>
          </cell>
          <cell r="D73">
            <v>1480.3921568627457</v>
          </cell>
          <cell r="E73">
            <v>4686.6405228758176</v>
          </cell>
          <cell r="F73">
            <v>6394.666666666667</v>
          </cell>
          <cell r="G73">
            <v>6709.333333333333</v>
          </cell>
        </row>
        <row r="74">
          <cell r="C74">
            <v>788.13131313131316</v>
          </cell>
          <cell r="D74">
            <v>5551.4705882352955</v>
          </cell>
          <cell r="E74">
            <v>17574.901960784318</v>
          </cell>
          <cell r="F74">
            <v>23980</v>
          </cell>
          <cell r="G74">
            <v>25160</v>
          </cell>
        </row>
      </sheetData>
      <sheetData sheetId="10" refreshError="1">
        <row r="40">
          <cell r="C40">
            <v>43125</v>
          </cell>
        </row>
        <row r="44">
          <cell r="C44">
            <v>51575</v>
          </cell>
          <cell r="D44">
            <v>140250</v>
          </cell>
          <cell r="E44">
            <v>445500</v>
          </cell>
          <cell r="F44">
            <v>660000</v>
          </cell>
          <cell r="G44">
            <v>660000</v>
          </cell>
        </row>
        <row r="71">
          <cell r="C71">
            <v>1199118750</v>
          </cell>
          <cell r="D71">
            <v>3260812500</v>
          </cell>
          <cell r="E71">
            <v>10357875000</v>
          </cell>
          <cell r="F71">
            <v>15345000000</v>
          </cell>
          <cell r="G71">
            <v>15345000000</v>
          </cell>
        </row>
        <row r="74">
          <cell r="C74">
            <v>18200</v>
          </cell>
        </row>
        <row r="75">
          <cell r="C75">
            <v>372.55111111111108</v>
          </cell>
          <cell r="D75">
            <v>733.33333333333337</v>
          </cell>
          <cell r="E75">
            <v>2200</v>
          </cell>
          <cell r="F75">
            <v>2933.3333333333335</v>
          </cell>
          <cell r="G75">
            <v>2933.3333333333335</v>
          </cell>
        </row>
        <row r="76">
          <cell r="C76">
            <v>1719.1666666666667</v>
          </cell>
          <cell r="D76">
            <v>4675</v>
          </cell>
          <cell r="E76">
            <v>14850</v>
          </cell>
          <cell r="F76">
            <v>22000</v>
          </cell>
          <cell r="G76">
            <v>22000</v>
          </cell>
        </row>
      </sheetData>
      <sheetData sheetId="11" refreshError="1">
        <row r="14">
          <cell r="C14">
            <v>1200</v>
          </cell>
        </row>
        <row r="42">
          <cell r="C42">
            <v>118000</v>
          </cell>
          <cell r="D42">
            <v>140294.11764705883</v>
          </cell>
          <cell r="E42">
            <v>230588.23529411765</v>
          </cell>
          <cell r="F42">
            <v>264700</v>
          </cell>
          <cell r="G42">
            <v>266800</v>
          </cell>
        </row>
        <row r="61">
          <cell r="C61">
            <v>6584400000</v>
          </cell>
          <cell r="D61">
            <v>7828411764.705883</v>
          </cell>
          <cell r="E61">
            <v>12866823529.411766</v>
          </cell>
          <cell r="F61">
            <v>14770260000</v>
          </cell>
          <cell r="G61">
            <v>14887440000</v>
          </cell>
        </row>
        <row r="64">
          <cell r="C64">
            <v>8000</v>
          </cell>
        </row>
        <row r="65">
          <cell r="C65">
            <v>3591.1111111111113</v>
          </cell>
          <cell r="D65">
            <v>2640.5228758169937</v>
          </cell>
          <cell r="E65">
            <v>3058.8235294117649</v>
          </cell>
          <cell r="F65">
            <v>3236.6013071895427</v>
          </cell>
          <cell r="G65">
            <v>3325.4901960784318</v>
          </cell>
        </row>
        <row r="66">
          <cell r="C66">
            <v>3933.3333333333335</v>
          </cell>
          <cell r="D66">
            <v>4676.4705882352946</v>
          </cell>
          <cell r="E66">
            <v>7686.2745098039213</v>
          </cell>
          <cell r="F66">
            <v>8823.3333333333339</v>
          </cell>
          <cell r="G66">
            <v>8893.3333333333339</v>
          </cell>
        </row>
      </sheetData>
      <sheetData sheetId="12" refreshError="1"/>
      <sheetData sheetId="13" refreshError="1"/>
      <sheetData sheetId="14" refreshError="1">
        <row r="24">
          <cell r="K24">
            <v>43047896.399999999</v>
          </cell>
          <cell r="M24">
            <v>5596226532</v>
          </cell>
        </row>
        <row r="25">
          <cell r="K25">
            <v>62419449.780000001</v>
          </cell>
          <cell r="M25">
            <v>8114528471.4000006</v>
          </cell>
        </row>
        <row r="26">
          <cell r="K26">
            <v>98050552.362749994</v>
          </cell>
          <cell r="M26">
            <v>12746571807.157499</v>
          </cell>
        </row>
        <row r="27">
          <cell r="K27">
            <v>145850196.63959062</v>
          </cell>
          <cell r="M27">
            <v>18960525563.146782</v>
          </cell>
        </row>
        <row r="28">
          <cell r="K28">
            <v>216952167.50139111</v>
          </cell>
          <cell r="M28">
            <v>28203781775.180843</v>
          </cell>
        </row>
      </sheetData>
      <sheetData sheetId="15" refreshError="1">
        <row r="24">
          <cell r="K24">
            <v>62024200.243200004</v>
          </cell>
          <cell r="M24">
            <v>8063146031.6160002</v>
          </cell>
        </row>
        <row r="25">
          <cell r="K25">
            <v>101099446.39641599</v>
          </cell>
          <cell r="M25">
            <v>13142928031.534079</v>
          </cell>
        </row>
        <row r="26">
          <cell r="K26">
            <v>202821043.23219457</v>
          </cell>
          <cell r="M26">
            <v>26366735620.185295</v>
          </cell>
        </row>
        <row r="27">
          <cell r="K27">
            <v>275836618.79578459</v>
          </cell>
          <cell r="M27">
            <v>35858760443.451996</v>
          </cell>
        </row>
        <row r="28">
          <cell r="K28">
            <v>375137801.56226695</v>
          </cell>
          <cell r="M28">
            <v>48767914203.094704</v>
          </cell>
        </row>
      </sheetData>
      <sheetData sheetId="16" refreshError="1">
        <row r="25">
          <cell r="I25">
            <v>168000</v>
          </cell>
          <cell r="K25">
            <v>20160000</v>
          </cell>
        </row>
        <row r="26">
          <cell r="I26">
            <v>527083.19999999995</v>
          </cell>
          <cell r="K26">
            <v>68520816</v>
          </cell>
        </row>
        <row r="27">
          <cell r="I27">
            <v>5031887.6159999985</v>
          </cell>
          <cell r="K27">
            <v>654145390.0799998</v>
          </cell>
        </row>
        <row r="28">
          <cell r="I28">
            <v>34468430.16959998</v>
          </cell>
          <cell r="K28">
            <v>4480895922.0479975</v>
          </cell>
        </row>
        <row r="29">
          <cell r="I29">
            <v>130980034.64447995</v>
          </cell>
          <cell r="K29">
            <v>17027404503.782394</v>
          </cell>
        </row>
      </sheetData>
      <sheetData sheetId="17" refreshError="1">
        <row r="32">
          <cell r="F32">
            <v>130905</v>
          </cell>
          <cell r="G32">
            <v>163631</v>
          </cell>
          <cell r="H32">
            <v>204539</v>
          </cell>
          <cell r="I32">
            <v>255674</v>
          </cell>
          <cell r="J32">
            <v>319593</v>
          </cell>
        </row>
        <row r="38">
          <cell r="F38">
            <v>29089825000</v>
          </cell>
          <cell r="G38">
            <v>36362208000</v>
          </cell>
          <cell r="H38">
            <v>43325606400</v>
          </cell>
          <cell r="I38">
            <v>51498047800</v>
          </cell>
          <cell r="J38">
            <v>61048907400</v>
          </cell>
        </row>
      </sheetData>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supostos"/>
      <sheetName val="Impacto"/>
      <sheetName val="Arroz e Feijão"/>
      <sheetName val="Milho e Feijão"/>
      <sheetName val="Girassol"/>
      <sheetName val="Soja"/>
      <sheetName val="Gergelim"/>
      <sheetName val="Bovinos"/>
      <sheetName val="Caprino"/>
      <sheetName val="Suinos"/>
      <sheetName val="Avicultura"/>
      <sheetName val="Impacto nas familias Pecuaria"/>
    </sheetNames>
    <sheetDataSet>
      <sheetData sheetId="0"/>
      <sheetData sheetId="1"/>
      <sheetData sheetId="2"/>
      <sheetData sheetId="3">
        <row r="14">
          <cell r="B14">
            <v>0.5</v>
          </cell>
        </row>
        <row r="28">
          <cell r="D28">
            <v>14700</v>
          </cell>
        </row>
      </sheetData>
      <sheetData sheetId="4"/>
      <sheetData sheetId="5">
        <row r="30">
          <cell r="E30">
            <v>8700</v>
          </cell>
        </row>
      </sheetData>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rgelim"/>
      <sheetName val="Soja"/>
      <sheetName val="Girassol"/>
      <sheetName val="Milho+Feijão"/>
      <sheetName val="Arroz"/>
      <sheetName val="Sheet5"/>
      <sheetName val="Impacto Agricultura"/>
      <sheetName val="Notas"/>
      <sheetName val="Bovino"/>
      <sheetName val="Caprino"/>
      <sheetName val="Suinos"/>
      <sheetName val="Mercados"/>
      <sheetName val="Avicultura"/>
      <sheetName val="Impacto Pecuária"/>
      <sheetName val="Oportunidades "/>
      <sheetName val="Clusters e Industrias Ancoras"/>
      <sheetName val="Import Expor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7">
          <cell r="D27">
            <v>18000</v>
          </cell>
        </row>
      </sheetData>
      <sheetData sheetId="13">
        <row r="16">
          <cell r="C16">
            <v>83156.462060546895</v>
          </cell>
        </row>
      </sheetData>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B50"/>
  <sheetViews>
    <sheetView showGridLines="0" topLeftCell="A22" zoomScale="160" zoomScaleNormal="160" workbookViewId="0">
      <selection activeCell="B9" sqref="B9"/>
    </sheetView>
  </sheetViews>
  <sheetFormatPr defaultColWidth="10.7109375" defaultRowHeight="15.75"/>
  <cols>
    <col min="1" max="1" width="3.42578125" style="119" customWidth="1"/>
    <col min="2" max="2" width="140.42578125" style="119" customWidth="1"/>
    <col min="3" max="16384" width="10.7109375" style="119"/>
  </cols>
  <sheetData>
    <row r="4" spans="2:2">
      <c r="B4" s="118" t="s">
        <v>134</v>
      </c>
    </row>
    <row r="5" spans="2:2">
      <c r="B5" s="120"/>
    </row>
    <row r="6" spans="2:2" ht="30.75">
      <c r="B6" s="111" t="s">
        <v>136</v>
      </c>
    </row>
    <row r="7" spans="2:2">
      <c r="B7" s="110"/>
    </row>
    <row r="8" spans="2:2" ht="30.75">
      <c r="B8" s="111" t="s">
        <v>137</v>
      </c>
    </row>
    <row r="9" spans="2:2">
      <c r="B9" s="110"/>
    </row>
    <row r="10" spans="2:2" ht="60.75">
      <c r="B10" s="111" t="s">
        <v>138</v>
      </c>
    </row>
    <row r="11" spans="2:2">
      <c r="B11" s="110"/>
    </row>
    <row r="12" spans="2:2" ht="30.75">
      <c r="B12" s="111" t="s">
        <v>139</v>
      </c>
    </row>
    <row r="13" spans="2:2">
      <c r="B13" s="110"/>
    </row>
    <row r="14" spans="2:2" ht="60.75">
      <c r="B14" s="111" t="s">
        <v>140</v>
      </c>
    </row>
    <row r="15" spans="2:2">
      <c r="B15" s="110"/>
    </row>
    <row r="16" spans="2:2" ht="30.75">
      <c r="B16" s="111" t="s">
        <v>141</v>
      </c>
    </row>
    <row r="17" spans="2:2">
      <c r="B17" s="110"/>
    </row>
    <row r="18" spans="2:2" ht="30.75">
      <c r="B18" s="111" t="s">
        <v>142</v>
      </c>
    </row>
    <row r="19" spans="2:2">
      <c r="B19" s="110"/>
    </row>
    <row r="20" spans="2:2" ht="45.75">
      <c r="B20" s="111" t="s">
        <v>143</v>
      </c>
    </row>
    <row r="21" spans="2:2">
      <c r="B21" s="110"/>
    </row>
    <row r="22" spans="2:2" ht="45.75">
      <c r="B22" s="111" t="s">
        <v>144</v>
      </c>
    </row>
    <row r="23" spans="2:2">
      <c r="B23" s="110"/>
    </row>
    <row r="24" spans="2:2" ht="30.75">
      <c r="B24" s="111" t="s">
        <v>145</v>
      </c>
    </row>
    <row r="25" spans="2:2">
      <c r="B25" s="110"/>
    </row>
    <row r="26" spans="2:2" ht="45.75">
      <c r="B26" s="111" t="s">
        <v>135</v>
      </c>
    </row>
    <row r="27" spans="2:2">
      <c r="B27" s="110"/>
    </row>
    <row r="28" spans="2:2" ht="45.75">
      <c r="B28" s="111" t="s">
        <v>146</v>
      </c>
    </row>
    <row r="29" spans="2:2">
      <c r="B29" s="110"/>
    </row>
    <row r="30" spans="2:2" ht="45.75">
      <c r="B30" s="111" t="s">
        <v>147</v>
      </c>
    </row>
    <row r="31" spans="2:2">
      <c r="B31" s="110"/>
    </row>
    <row r="32" spans="2:2" ht="45.75">
      <c r="B32" s="111" t="s">
        <v>148</v>
      </c>
    </row>
    <row r="33" spans="2:2">
      <c r="B33" s="121"/>
    </row>
    <row r="34" spans="2:2">
      <c r="B34" s="121"/>
    </row>
    <row r="35" spans="2:2">
      <c r="B35" s="121"/>
    </row>
    <row r="36" spans="2:2">
      <c r="B36" s="121"/>
    </row>
    <row r="37" spans="2:2">
      <c r="B37" s="121"/>
    </row>
    <row r="38" spans="2:2">
      <c r="B38" s="121"/>
    </row>
    <row r="39" spans="2:2">
      <c r="B39" s="121"/>
    </row>
    <row r="40" spans="2:2">
      <c r="B40" s="121"/>
    </row>
    <row r="41" spans="2:2">
      <c r="B41" s="121"/>
    </row>
    <row r="42" spans="2:2">
      <c r="B42" s="121"/>
    </row>
    <row r="43" spans="2:2">
      <c r="B43" s="121"/>
    </row>
    <row r="44" spans="2:2">
      <c r="B44" s="121"/>
    </row>
    <row r="45" spans="2:2">
      <c r="B45" s="121"/>
    </row>
    <row r="46" spans="2:2">
      <c r="B46" s="121"/>
    </row>
    <row r="47" spans="2:2">
      <c r="B47" s="121"/>
    </row>
    <row r="48" spans="2:2">
      <c r="B48" s="121"/>
    </row>
    <row r="49" spans="2:2">
      <c r="B49" s="121"/>
    </row>
    <row r="50" spans="2:2">
      <c r="B50" s="121"/>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31"/>
  <sheetViews>
    <sheetView workbookViewId="0">
      <selection activeCell="D3" sqref="D3:Q4"/>
    </sheetView>
  </sheetViews>
  <sheetFormatPr defaultColWidth="11.5703125" defaultRowHeight="12.75"/>
  <cols>
    <col min="1" max="1" width="7.28515625" style="220" customWidth="1"/>
    <col min="2" max="2" width="42.5703125" style="220" bestFit="1" customWidth="1"/>
    <col min="3" max="3" width="23.5703125" style="220" customWidth="1"/>
    <col min="4" max="8" width="21.85546875" style="220" customWidth="1"/>
    <col min="9" max="16" width="26.7109375" style="220" customWidth="1"/>
    <col min="17" max="218" width="8.7109375" style="220" customWidth="1"/>
    <col min="219" max="219" width="7.28515625" style="220" customWidth="1"/>
    <col min="220" max="220" width="18.28515625" style="220" customWidth="1"/>
    <col min="221" max="221" width="23.42578125" style="220" bestFit="1" customWidth="1"/>
    <col min="222" max="223" width="10.140625" style="220" bestFit="1" customWidth="1"/>
    <col min="224" max="226" width="10.140625" style="220" customWidth="1"/>
    <col min="227" max="227" width="16.28515625" style="220" customWidth="1"/>
    <col min="228" max="228" width="20.28515625" style="220" bestFit="1" customWidth="1"/>
    <col min="229" max="231" width="20.28515625" style="220" customWidth="1"/>
    <col min="232" max="232" width="20.28515625" style="220" bestFit="1" customWidth="1"/>
    <col min="233" max="233" width="15.42578125" style="220" customWidth="1"/>
    <col min="234" max="234" width="20.28515625" style="220" bestFit="1" customWidth="1"/>
    <col min="235" max="237" width="20.28515625" style="220" customWidth="1"/>
    <col min="238" max="238" width="20.28515625" style="220" bestFit="1" customWidth="1"/>
    <col min="239" max="239" width="15.42578125" style="220" customWidth="1"/>
    <col min="240" max="240" width="20.7109375" style="220" bestFit="1" customWidth="1"/>
    <col min="241" max="243" width="20.7109375" style="220" customWidth="1"/>
    <col min="244" max="244" width="20.7109375" style="220" bestFit="1" customWidth="1"/>
    <col min="245" max="245" width="12.140625" style="220" customWidth="1"/>
    <col min="246" max="474" width="8.7109375" style="220" customWidth="1"/>
    <col min="475" max="475" width="7.28515625" style="220" customWidth="1"/>
    <col min="476" max="476" width="18.28515625" style="220" customWidth="1"/>
    <col min="477" max="477" width="23.42578125" style="220" bestFit="1" customWidth="1"/>
    <col min="478" max="479" width="10.140625" style="220" bestFit="1" customWidth="1"/>
    <col min="480" max="482" width="10.140625" style="220" customWidth="1"/>
    <col min="483" max="483" width="16.28515625" style="220" customWidth="1"/>
    <col min="484" max="484" width="20.28515625" style="220" bestFit="1" customWidth="1"/>
    <col min="485" max="487" width="20.28515625" style="220" customWidth="1"/>
    <col min="488" max="488" width="20.28515625" style="220" bestFit="1" customWidth="1"/>
    <col min="489" max="489" width="15.42578125" style="220" customWidth="1"/>
    <col min="490" max="490" width="20.28515625" style="220" bestFit="1" customWidth="1"/>
    <col min="491" max="493" width="20.28515625" style="220" customWidth="1"/>
    <col min="494" max="494" width="20.28515625" style="220" bestFit="1" customWidth="1"/>
    <col min="495" max="495" width="15.42578125" style="220" customWidth="1"/>
    <col min="496" max="496" width="20.7109375" style="220" bestFit="1" customWidth="1"/>
    <col min="497" max="499" width="20.7109375" style="220" customWidth="1"/>
    <col min="500" max="500" width="20.7109375" style="220" bestFit="1" customWidth="1"/>
    <col min="501" max="501" width="12.140625" style="220" customWidth="1"/>
    <col min="502" max="730" width="8.7109375" style="220" customWidth="1"/>
    <col min="731" max="731" width="7.28515625" style="220" customWidth="1"/>
    <col min="732" max="732" width="18.28515625" style="220" customWidth="1"/>
    <col min="733" max="733" width="23.42578125" style="220" bestFit="1" customWidth="1"/>
    <col min="734" max="735" width="10.140625" style="220" bestFit="1" customWidth="1"/>
    <col min="736" max="738" width="10.140625" style="220" customWidth="1"/>
    <col min="739" max="739" width="16.28515625" style="220" customWidth="1"/>
    <col min="740" max="740" width="20.28515625" style="220" bestFit="1" customWidth="1"/>
    <col min="741" max="743" width="20.28515625" style="220" customWidth="1"/>
    <col min="744" max="744" width="20.28515625" style="220" bestFit="1" customWidth="1"/>
    <col min="745" max="745" width="15.42578125" style="220" customWidth="1"/>
    <col min="746" max="746" width="20.28515625" style="220" bestFit="1" customWidth="1"/>
    <col min="747" max="749" width="20.28515625" style="220" customWidth="1"/>
    <col min="750" max="750" width="20.28515625" style="220" bestFit="1" customWidth="1"/>
    <col min="751" max="751" width="15.42578125" style="220" customWidth="1"/>
    <col min="752" max="752" width="20.7109375" style="220" bestFit="1" customWidth="1"/>
    <col min="753" max="755" width="20.7109375" style="220" customWidth="1"/>
    <col min="756" max="756" width="20.7109375" style="220" bestFit="1" customWidth="1"/>
    <col min="757" max="757" width="12.140625" style="220" customWidth="1"/>
    <col min="758" max="986" width="8.7109375" style="220" customWidth="1"/>
    <col min="987" max="987" width="7.28515625" style="220" customWidth="1"/>
    <col min="988" max="988" width="18.28515625" style="220" customWidth="1"/>
    <col min="989" max="989" width="23.42578125" style="220" bestFit="1" customWidth="1"/>
    <col min="990" max="991" width="10.140625" style="220" bestFit="1" customWidth="1"/>
    <col min="992" max="994" width="10.140625" style="220" customWidth="1"/>
    <col min="995" max="995" width="16.28515625" style="220" customWidth="1"/>
    <col min="996" max="996" width="20.28515625" style="220" bestFit="1" customWidth="1"/>
    <col min="997" max="999" width="20.28515625" style="220" customWidth="1"/>
    <col min="1000" max="1000" width="20.28515625" style="220" bestFit="1" customWidth="1"/>
    <col min="1001" max="1001" width="15.42578125" style="220" customWidth="1"/>
    <col min="1002" max="1002" width="20.28515625" style="220" bestFit="1" customWidth="1"/>
    <col min="1003" max="1005" width="20.28515625" style="220" customWidth="1"/>
    <col min="1006" max="1006" width="20.28515625" style="220" bestFit="1" customWidth="1"/>
    <col min="1007" max="1007" width="15.42578125" style="220" customWidth="1"/>
    <col min="1008" max="1008" width="20.7109375" style="220" bestFit="1" customWidth="1"/>
    <col min="1009" max="1011" width="20.7109375" style="220" customWidth="1"/>
    <col min="1012" max="1012" width="20.7109375" style="220" bestFit="1" customWidth="1"/>
    <col min="1013" max="1013" width="12.140625" style="220" customWidth="1"/>
    <col min="1014" max="1242" width="8.7109375" style="220" customWidth="1"/>
    <col min="1243" max="1243" width="7.28515625" style="220" customWidth="1"/>
    <col min="1244" max="1244" width="18.28515625" style="220" customWidth="1"/>
    <col min="1245" max="1245" width="23.42578125" style="220" bestFit="1" customWidth="1"/>
    <col min="1246" max="1247" width="10.140625" style="220" bestFit="1" customWidth="1"/>
    <col min="1248" max="1250" width="10.140625" style="220" customWidth="1"/>
    <col min="1251" max="1251" width="16.28515625" style="220" customWidth="1"/>
    <col min="1252" max="1252" width="20.28515625" style="220" bestFit="1" customWidth="1"/>
    <col min="1253" max="1255" width="20.28515625" style="220" customWidth="1"/>
    <col min="1256" max="1256" width="20.28515625" style="220" bestFit="1" customWidth="1"/>
    <col min="1257" max="1257" width="15.42578125" style="220" customWidth="1"/>
    <col min="1258" max="1258" width="20.28515625" style="220" bestFit="1" customWidth="1"/>
    <col min="1259" max="1261" width="20.28515625" style="220" customWidth="1"/>
    <col min="1262" max="1262" width="20.28515625" style="220" bestFit="1" customWidth="1"/>
    <col min="1263" max="1263" width="15.42578125" style="220" customWidth="1"/>
    <col min="1264" max="1264" width="20.7109375" style="220" bestFit="1" customWidth="1"/>
    <col min="1265" max="1267" width="20.7109375" style="220" customWidth="1"/>
    <col min="1268" max="1268" width="20.7109375" style="220" bestFit="1" customWidth="1"/>
    <col min="1269" max="1269" width="12.140625" style="220" customWidth="1"/>
    <col min="1270" max="1498" width="8.7109375" style="220" customWidth="1"/>
    <col min="1499" max="1499" width="7.28515625" style="220" customWidth="1"/>
    <col min="1500" max="1500" width="18.28515625" style="220" customWidth="1"/>
    <col min="1501" max="1501" width="23.42578125" style="220" bestFit="1" customWidth="1"/>
    <col min="1502" max="1503" width="10.140625" style="220" bestFit="1" customWidth="1"/>
    <col min="1504" max="1506" width="10.140625" style="220" customWidth="1"/>
    <col min="1507" max="1507" width="16.28515625" style="220" customWidth="1"/>
    <col min="1508" max="1508" width="20.28515625" style="220" bestFit="1" customWidth="1"/>
    <col min="1509" max="1511" width="20.28515625" style="220" customWidth="1"/>
    <col min="1512" max="1512" width="20.28515625" style="220" bestFit="1" customWidth="1"/>
    <col min="1513" max="1513" width="15.42578125" style="220" customWidth="1"/>
    <col min="1514" max="1514" width="20.28515625" style="220" bestFit="1" customWidth="1"/>
    <col min="1515" max="1517" width="20.28515625" style="220" customWidth="1"/>
    <col min="1518" max="1518" width="20.28515625" style="220" bestFit="1" customWidth="1"/>
    <col min="1519" max="1519" width="15.42578125" style="220" customWidth="1"/>
    <col min="1520" max="1520" width="20.7109375" style="220" bestFit="1" customWidth="1"/>
    <col min="1521" max="1523" width="20.7109375" style="220" customWidth="1"/>
    <col min="1524" max="1524" width="20.7109375" style="220" bestFit="1" customWidth="1"/>
    <col min="1525" max="1525" width="12.140625" style="220" customWidth="1"/>
    <col min="1526" max="1754" width="8.7109375" style="220" customWidth="1"/>
    <col min="1755" max="1755" width="7.28515625" style="220" customWidth="1"/>
    <col min="1756" max="1756" width="18.28515625" style="220" customWidth="1"/>
    <col min="1757" max="1757" width="23.42578125" style="220" bestFit="1" customWidth="1"/>
    <col min="1758" max="1759" width="10.140625" style="220" bestFit="1" customWidth="1"/>
    <col min="1760" max="1762" width="10.140625" style="220" customWidth="1"/>
    <col min="1763" max="1763" width="16.28515625" style="220" customWidth="1"/>
    <col min="1764" max="1764" width="20.28515625" style="220" bestFit="1" customWidth="1"/>
    <col min="1765" max="1767" width="20.28515625" style="220" customWidth="1"/>
    <col min="1768" max="1768" width="20.28515625" style="220" bestFit="1" customWidth="1"/>
    <col min="1769" max="1769" width="15.42578125" style="220" customWidth="1"/>
    <col min="1770" max="1770" width="20.28515625" style="220" bestFit="1" customWidth="1"/>
    <col min="1771" max="1773" width="20.28515625" style="220" customWidth="1"/>
    <col min="1774" max="1774" width="20.28515625" style="220" bestFit="1" customWidth="1"/>
    <col min="1775" max="1775" width="15.42578125" style="220" customWidth="1"/>
    <col min="1776" max="1776" width="20.7109375" style="220" bestFit="1" customWidth="1"/>
    <col min="1777" max="1779" width="20.7109375" style="220" customWidth="1"/>
    <col min="1780" max="1780" width="20.7109375" style="220" bestFit="1" customWidth="1"/>
    <col min="1781" max="1781" width="12.140625" style="220" customWidth="1"/>
    <col min="1782" max="2010" width="8.7109375" style="220" customWidth="1"/>
    <col min="2011" max="2011" width="7.28515625" style="220" customWidth="1"/>
    <col min="2012" max="2012" width="18.28515625" style="220" customWidth="1"/>
    <col min="2013" max="2013" width="23.42578125" style="220" bestFit="1" customWidth="1"/>
    <col min="2014" max="2015" width="10.140625" style="220" bestFit="1" customWidth="1"/>
    <col min="2016" max="2018" width="10.140625" style="220" customWidth="1"/>
    <col min="2019" max="2019" width="16.28515625" style="220" customWidth="1"/>
    <col min="2020" max="2020" width="20.28515625" style="220" bestFit="1" customWidth="1"/>
    <col min="2021" max="2023" width="20.28515625" style="220" customWidth="1"/>
    <col min="2024" max="2024" width="20.28515625" style="220" bestFit="1" customWidth="1"/>
    <col min="2025" max="2025" width="15.42578125" style="220" customWidth="1"/>
    <col min="2026" max="2026" width="20.28515625" style="220" bestFit="1" customWidth="1"/>
    <col min="2027" max="2029" width="20.28515625" style="220" customWidth="1"/>
    <col min="2030" max="2030" width="20.28515625" style="220" bestFit="1" customWidth="1"/>
    <col min="2031" max="2031" width="15.42578125" style="220" customWidth="1"/>
    <col min="2032" max="2032" width="20.7109375" style="220" bestFit="1" customWidth="1"/>
    <col min="2033" max="2035" width="20.7109375" style="220" customWidth="1"/>
    <col min="2036" max="2036" width="20.7109375" style="220" bestFit="1" customWidth="1"/>
    <col min="2037" max="2037" width="12.140625" style="220" customWidth="1"/>
    <col min="2038" max="2266" width="8.7109375" style="220" customWidth="1"/>
    <col min="2267" max="2267" width="7.28515625" style="220" customWidth="1"/>
    <col min="2268" max="2268" width="18.28515625" style="220" customWidth="1"/>
    <col min="2269" max="2269" width="23.42578125" style="220" bestFit="1" customWidth="1"/>
    <col min="2270" max="2271" width="10.140625" style="220" bestFit="1" customWidth="1"/>
    <col min="2272" max="2274" width="10.140625" style="220" customWidth="1"/>
    <col min="2275" max="2275" width="16.28515625" style="220" customWidth="1"/>
    <col min="2276" max="2276" width="20.28515625" style="220" bestFit="1" customWidth="1"/>
    <col min="2277" max="2279" width="20.28515625" style="220" customWidth="1"/>
    <col min="2280" max="2280" width="20.28515625" style="220" bestFit="1" customWidth="1"/>
    <col min="2281" max="2281" width="15.42578125" style="220" customWidth="1"/>
    <col min="2282" max="2282" width="20.28515625" style="220" bestFit="1" customWidth="1"/>
    <col min="2283" max="2285" width="20.28515625" style="220" customWidth="1"/>
    <col min="2286" max="2286" width="20.28515625" style="220" bestFit="1" customWidth="1"/>
    <col min="2287" max="2287" width="15.42578125" style="220" customWidth="1"/>
    <col min="2288" max="2288" width="20.7109375" style="220" bestFit="1" customWidth="1"/>
    <col min="2289" max="2291" width="20.7109375" style="220" customWidth="1"/>
    <col min="2292" max="2292" width="20.7109375" style="220" bestFit="1" customWidth="1"/>
    <col min="2293" max="2293" width="12.140625" style="220" customWidth="1"/>
    <col min="2294" max="2522" width="8.7109375" style="220" customWidth="1"/>
    <col min="2523" max="2523" width="7.28515625" style="220" customWidth="1"/>
    <col min="2524" max="2524" width="18.28515625" style="220" customWidth="1"/>
    <col min="2525" max="2525" width="23.42578125" style="220" bestFit="1" customWidth="1"/>
    <col min="2526" max="2527" width="10.140625" style="220" bestFit="1" customWidth="1"/>
    <col min="2528" max="2530" width="10.140625" style="220" customWidth="1"/>
    <col min="2531" max="2531" width="16.28515625" style="220" customWidth="1"/>
    <col min="2532" max="2532" width="20.28515625" style="220" bestFit="1" customWidth="1"/>
    <col min="2533" max="2535" width="20.28515625" style="220" customWidth="1"/>
    <col min="2536" max="2536" width="20.28515625" style="220" bestFit="1" customWidth="1"/>
    <col min="2537" max="2537" width="15.42578125" style="220" customWidth="1"/>
    <col min="2538" max="2538" width="20.28515625" style="220" bestFit="1" customWidth="1"/>
    <col min="2539" max="2541" width="20.28515625" style="220" customWidth="1"/>
    <col min="2542" max="2542" width="20.28515625" style="220" bestFit="1" customWidth="1"/>
    <col min="2543" max="2543" width="15.42578125" style="220" customWidth="1"/>
    <col min="2544" max="2544" width="20.7109375" style="220" bestFit="1" customWidth="1"/>
    <col min="2545" max="2547" width="20.7109375" style="220" customWidth="1"/>
    <col min="2548" max="2548" width="20.7109375" style="220" bestFit="1" customWidth="1"/>
    <col min="2549" max="2549" width="12.140625" style="220" customWidth="1"/>
    <col min="2550" max="2778" width="8.7109375" style="220" customWidth="1"/>
    <col min="2779" max="2779" width="7.28515625" style="220" customWidth="1"/>
    <col min="2780" max="2780" width="18.28515625" style="220" customWidth="1"/>
    <col min="2781" max="2781" width="23.42578125" style="220" bestFit="1" customWidth="1"/>
    <col min="2782" max="2783" width="10.140625" style="220" bestFit="1" customWidth="1"/>
    <col min="2784" max="2786" width="10.140625" style="220" customWidth="1"/>
    <col min="2787" max="2787" width="16.28515625" style="220" customWidth="1"/>
    <col min="2788" max="2788" width="20.28515625" style="220" bestFit="1" customWidth="1"/>
    <col min="2789" max="2791" width="20.28515625" style="220" customWidth="1"/>
    <col min="2792" max="2792" width="20.28515625" style="220" bestFit="1" customWidth="1"/>
    <col min="2793" max="2793" width="15.42578125" style="220" customWidth="1"/>
    <col min="2794" max="2794" width="20.28515625" style="220" bestFit="1" customWidth="1"/>
    <col min="2795" max="2797" width="20.28515625" style="220" customWidth="1"/>
    <col min="2798" max="2798" width="20.28515625" style="220" bestFit="1" customWidth="1"/>
    <col min="2799" max="2799" width="15.42578125" style="220" customWidth="1"/>
    <col min="2800" max="2800" width="20.7109375" style="220" bestFit="1" customWidth="1"/>
    <col min="2801" max="2803" width="20.7109375" style="220" customWidth="1"/>
    <col min="2804" max="2804" width="20.7109375" style="220" bestFit="1" customWidth="1"/>
    <col min="2805" max="2805" width="12.140625" style="220" customWidth="1"/>
    <col min="2806" max="3034" width="8.7109375" style="220" customWidth="1"/>
    <col min="3035" max="3035" width="7.28515625" style="220" customWidth="1"/>
    <col min="3036" max="3036" width="18.28515625" style="220" customWidth="1"/>
    <col min="3037" max="3037" width="23.42578125" style="220" bestFit="1" customWidth="1"/>
    <col min="3038" max="3039" width="10.140625" style="220" bestFit="1" customWidth="1"/>
    <col min="3040" max="3042" width="10.140625" style="220" customWidth="1"/>
    <col min="3043" max="3043" width="16.28515625" style="220" customWidth="1"/>
    <col min="3044" max="3044" width="20.28515625" style="220" bestFit="1" customWidth="1"/>
    <col min="3045" max="3047" width="20.28515625" style="220" customWidth="1"/>
    <col min="3048" max="3048" width="20.28515625" style="220" bestFit="1" customWidth="1"/>
    <col min="3049" max="3049" width="15.42578125" style="220" customWidth="1"/>
    <col min="3050" max="3050" width="20.28515625" style="220" bestFit="1" customWidth="1"/>
    <col min="3051" max="3053" width="20.28515625" style="220" customWidth="1"/>
    <col min="3054" max="3054" width="20.28515625" style="220" bestFit="1" customWidth="1"/>
    <col min="3055" max="3055" width="15.42578125" style="220" customWidth="1"/>
    <col min="3056" max="3056" width="20.7109375" style="220" bestFit="1" customWidth="1"/>
    <col min="3057" max="3059" width="20.7109375" style="220" customWidth="1"/>
    <col min="3060" max="3060" width="20.7109375" style="220" bestFit="1" customWidth="1"/>
    <col min="3061" max="3061" width="12.140625" style="220" customWidth="1"/>
    <col min="3062" max="3290" width="8.7109375" style="220" customWidth="1"/>
    <col min="3291" max="3291" width="7.28515625" style="220" customWidth="1"/>
    <col min="3292" max="3292" width="18.28515625" style="220" customWidth="1"/>
    <col min="3293" max="3293" width="23.42578125" style="220" bestFit="1" customWidth="1"/>
    <col min="3294" max="3295" width="10.140625" style="220" bestFit="1" customWidth="1"/>
    <col min="3296" max="3298" width="10.140625" style="220" customWidth="1"/>
    <col min="3299" max="3299" width="16.28515625" style="220" customWidth="1"/>
    <col min="3300" max="3300" width="20.28515625" style="220" bestFit="1" customWidth="1"/>
    <col min="3301" max="3303" width="20.28515625" style="220" customWidth="1"/>
    <col min="3304" max="3304" width="20.28515625" style="220" bestFit="1" customWidth="1"/>
    <col min="3305" max="3305" width="15.42578125" style="220" customWidth="1"/>
    <col min="3306" max="3306" width="20.28515625" style="220" bestFit="1" customWidth="1"/>
    <col min="3307" max="3309" width="20.28515625" style="220" customWidth="1"/>
    <col min="3310" max="3310" width="20.28515625" style="220" bestFit="1" customWidth="1"/>
    <col min="3311" max="3311" width="15.42578125" style="220" customWidth="1"/>
    <col min="3312" max="3312" width="20.7109375" style="220" bestFit="1" customWidth="1"/>
    <col min="3313" max="3315" width="20.7109375" style="220" customWidth="1"/>
    <col min="3316" max="3316" width="20.7109375" style="220" bestFit="1" customWidth="1"/>
    <col min="3317" max="3317" width="12.140625" style="220" customWidth="1"/>
    <col min="3318" max="3546" width="8.7109375" style="220" customWidth="1"/>
    <col min="3547" max="3547" width="7.28515625" style="220" customWidth="1"/>
    <col min="3548" max="3548" width="18.28515625" style="220" customWidth="1"/>
    <col min="3549" max="3549" width="23.42578125" style="220" bestFit="1" customWidth="1"/>
    <col min="3550" max="3551" width="10.140625" style="220" bestFit="1" customWidth="1"/>
    <col min="3552" max="3554" width="10.140625" style="220" customWidth="1"/>
    <col min="3555" max="3555" width="16.28515625" style="220" customWidth="1"/>
    <col min="3556" max="3556" width="20.28515625" style="220" bestFit="1" customWidth="1"/>
    <col min="3557" max="3559" width="20.28515625" style="220" customWidth="1"/>
    <col min="3560" max="3560" width="20.28515625" style="220" bestFit="1" customWidth="1"/>
    <col min="3561" max="3561" width="15.42578125" style="220" customWidth="1"/>
    <col min="3562" max="3562" width="20.28515625" style="220" bestFit="1" customWidth="1"/>
    <col min="3563" max="3565" width="20.28515625" style="220" customWidth="1"/>
    <col min="3566" max="3566" width="20.28515625" style="220" bestFit="1" customWidth="1"/>
    <col min="3567" max="3567" width="15.42578125" style="220" customWidth="1"/>
    <col min="3568" max="3568" width="20.7109375" style="220" bestFit="1" customWidth="1"/>
    <col min="3569" max="3571" width="20.7109375" style="220" customWidth="1"/>
    <col min="3572" max="3572" width="20.7109375" style="220" bestFit="1" customWidth="1"/>
    <col min="3573" max="3573" width="12.140625" style="220" customWidth="1"/>
    <col min="3574" max="3802" width="8.7109375" style="220" customWidth="1"/>
    <col min="3803" max="3803" width="7.28515625" style="220" customWidth="1"/>
    <col min="3804" max="3804" width="18.28515625" style="220" customWidth="1"/>
    <col min="3805" max="3805" width="23.42578125" style="220" bestFit="1" customWidth="1"/>
    <col min="3806" max="3807" width="10.140625" style="220" bestFit="1" customWidth="1"/>
    <col min="3808" max="3810" width="10.140625" style="220" customWidth="1"/>
    <col min="3811" max="3811" width="16.28515625" style="220" customWidth="1"/>
    <col min="3812" max="3812" width="20.28515625" style="220" bestFit="1" customWidth="1"/>
    <col min="3813" max="3815" width="20.28515625" style="220" customWidth="1"/>
    <col min="3816" max="3816" width="20.28515625" style="220" bestFit="1" customWidth="1"/>
    <col min="3817" max="3817" width="15.42578125" style="220" customWidth="1"/>
    <col min="3818" max="3818" width="20.28515625" style="220" bestFit="1" customWidth="1"/>
    <col min="3819" max="3821" width="20.28515625" style="220" customWidth="1"/>
    <col min="3822" max="3822" width="20.28515625" style="220" bestFit="1" customWidth="1"/>
    <col min="3823" max="3823" width="15.42578125" style="220" customWidth="1"/>
    <col min="3824" max="3824" width="20.7109375" style="220" bestFit="1" customWidth="1"/>
    <col min="3825" max="3827" width="20.7109375" style="220" customWidth="1"/>
    <col min="3828" max="3828" width="20.7109375" style="220" bestFit="1" customWidth="1"/>
    <col min="3829" max="3829" width="12.140625" style="220" customWidth="1"/>
    <col min="3830" max="4058" width="8.7109375" style="220" customWidth="1"/>
    <col min="4059" max="4059" width="7.28515625" style="220" customWidth="1"/>
    <col min="4060" max="4060" width="18.28515625" style="220" customWidth="1"/>
    <col min="4061" max="4061" width="23.42578125" style="220" bestFit="1" customWidth="1"/>
    <col min="4062" max="4063" width="10.140625" style="220" bestFit="1" customWidth="1"/>
    <col min="4064" max="4066" width="10.140625" style="220" customWidth="1"/>
    <col min="4067" max="4067" width="16.28515625" style="220" customWidth="1"/>
    <col min="4068" max="4068" width="20.28515625" style="220" bestFit="1" customWidth="1"/>
    <col min="4069" max="4071" width="20.28515625" style="220" customWidth="1"/>
    <col min="4072" max="4072" width="20.28515625" style="220" bestFit="1" customWidth="1"/>
    <col min="4073" max="4073" width="15.42578125" style="220" customWidth="1"/>
    <col min="4074" max="4074" width="20.28515625" style="220" bestFit="1" customWidth="1"/>
    <col min="4075" max="4077" width="20.28515625" style="220" customWidth="1"/>
    <col min="4078" max="4078" width="20.28515625" style="220" bestFit="1" customWidth="1"/>
    <col min="4079" max="4079" width="15.42578125" style="220" customWidth="1"/>
    <col min="4080" max="4080" width="20.7109375" style="220" bestFit="1" customWidth="1"/>
    <col min="4081" max="4083" width="20.7109375" style="220" customWidth="1"/>
    <col min="4084" max="4084" width="20.7109375" style="220" bestFit="1" customWidth="1"/>
    <col min="4085" max="4085" width="12.140625" style="220" customWidth="1"/>
    <col min="4086" max="4314" width="8.7109375" style="220" customWidth="1"/>
    <col min="4315" max="4315" width="7.28515625" style="220" customWidth="1"/>
    <col min="4316" max="4316" width="18.28515625" style="220" customWidth="1"/>
    <col min="4317" max="4317" width="23.42578125" style="220" bestFit="1" customWidth="1"/>
    <col min="4318" max="4319" width="10.140625" style="220" bestFit="1" customWidth="1"/>
    <col min="4320" max="4322" width="10.140625" style="220" customWidth="1"/>
    <col min="4323" max="4323" width="16.28515625" style="220" customWidth="1"/>
    <col min="4324" max="4324" width="20.28515625" style="220" bestFit="1" customWidth="1"/>
    <col min="4325" max="4327" width="20.28515625" style="220" customWidth="1"/>
    <col min="4328" max="4328" width="20.28515625" style="220" bestFit="1" customWidth="1"/>
    <col min="4329" max="4329" width="15.42578125" style="220" customWidth="1"/>
    <col min="4330" max="4330" width="20.28515625" style="220" bestFit="1" customWidth="1"/>
    <col min="4331" max="4333" width="20.28515625" style="220" customWidth="1"/>
    <col min="4334" max="4334" width="20.28515625" style="220" bestFit="1" customWidth="1"/>
    <col min="4335" max="4335" width="15.42578125" style="220" customWidth="1"/>
    <col min="4336" max="4336" width="20.7109375" style="220" bestFit="1" customWidth="1"/>
    <col min="4337" max="4339" width="20.7109375" style="220" customWidth="1"/>
    <col min="4340" max="4340" width="20.7109375" style="220" bestFit="1" customWidth="1"/>
    <col min="4341" max="4341" width="12.140625" style="220" customWidth="1"/>
    <col min="4342" max="4570" width="8.7109375" style="220" customWidth="1"/>
    <col min="4571" max="4571" width="7.28515625" style="220" customWidth="1"/>
    <col min="4572" max="4572" width="18.28515625" style="220" customWidth="1"/>
    <col min="4573" max="4573" width="23.42578125" style="220" bestFit="1" customWidth="1"/>
    <col min="4574" max="4575" width="10.140625" style="220" bestFit="1" customWidth="1"/>
    <col min="4576" max="4578" width="10.140625" style="220" customWidth="1"/>
    <col min="4579" max="4579" width="16.28515625" style="220" customWidth="1"/>
    <col min="4580" max="4580" width="20.28515625" style="220" bestFit="1" customWidth="1"/>
    <col min="4581" max="4583" width="20.28515625" style="220" customWidth="1"/>
    <col min="4584" max="4584" width="20.28515625" style="220" bestFit="1" customWidth="1"/>
    <col min="4585" max="4585" width="15.42578125" style="220" customWidth="1"/>
    <col min="4586" max="4586" width="20.28515625" style="220" bestFit="1" customWidth="1"/>
    <col min="4587" max="4589" width="20.28515625" style="220" customWidth="1"/>
    <col min="4590" max="4590" width="20.28515625" style="220" bestFit="1" customWidth="1"/>
    <col min="4591" max="4591" width="15.42578125" style="220" customWidth="1"/>
    <col min="4592" max="4592" width="20.7109375" style="220" bestFit="1" customWidth="1"/>
    <col min="4593" max="4595" width="20.7109375" style="220" customWidth="1"/>
    <col min="4596" max="4596" width="20.7109375" style="220" bestFit="1" customWidth="1"/>
    <col min="4597" max="4597" width="12.140625" style="220" customWidth="1"/>
    <col min="4598" max="4826" width="8.7109375" style="220" customWidth="1"/>
    <col min="4827" max="4827" width="7.28515625" style="220" customWidth="1"/>
    <col min="4828" max="4828" width="18.28515625" style="220" customWidth="1"/>
    <col min="4829" max="4829" width="23.42578125" style="220" bestFit="1" customWidth="1"/>
    <col min="4830" max="4831" width="10.140625" style="220" bestFit="1" customWidth="1"/>
    <col min="4832" max="4834" width="10.140625" style="220" customWidth="1"/>
    <col min="4835" max="4835" width="16.28515625" style="220" customWidth="1"/>
    <col min="4836" max="4836" width="20.28515625" style="220" bestFit="1" customWidth="1"/>
    <col min="4837" max="4839" width="20.28515625" style="220" customWidth="1"/>
    <col min="4840" max="4840" width="20.28515625" style="220" bestFit="1" customWidth="1"/>
    <col min="4841" max="4841" width="15.42578125" style="220" customWidth="1"/>
    <col min="4842" max="4842" width="20.28515625" style="220" bestFit="1" customWidth="1"/>
    <col min="4843" max="4845" width="20.28515625" style="220" customWidth="1"/>
    <col min="4846" max="4846" width="20.28515625" style="220" bestFit="1" customWidth="1"/>
    <col min="4847" max="4847" width="15.42578125" style="220" customWidth="1"/>
    <col min="4848" max="4848" width="20.7109375" style="220" bestFit="1" customWidth="1"/>
    <col min="4849" max="4851" width="20.7109375" style="220" customWidth="1"/>
    <col min="4852" max="4852" width="20.7109375" style="220" bestFit="1" customWidth="1"/>
    <col min="4853" max="4853" width="12.140625" style="220" customWidth="1"/>
    <col min="4854" max="5082" width="8.7109375" style="220" customWidth="1"/>
    <col min="5083" max="5083" width="7.28515625" style="220" customWidth="1"/>
    <col min="5084" max="5084" width="18.28515625" style="220" customWidth="1"/>
    <col min="5085" max="5085" width="23.42578125" style="220" bestFit="1" customWidth="1"/>
    <col min="5086" max="5087" width="10.140625" style="220" bestFit="1" customWidth="1"/>
    <col min="5088" max="5090" width="10.140625" style="220" customWidth="1"/>
    <col min="5091" max="5091" width="16.28515625" style="220" customWidth="1"/>
    <col min="5092" max="5092" width="20.28515625" style="220" bestFit="1" customWidth="1"/>
    <col min="5093" max="5095" width="20.28515625" style="220" customWidth="1"/>
    <col min="5096" max="5096" width="20.28515625" style="220" bestFit="1" customWidth="1"/>
    <col min="5097" max="5097" width="15.42578125" style="220" customWidth="1"/>
    <col min="5098" max="5098" width="20.28515625" style="220" bestFit="1" customWidth="1"/>
    <col min="5099" max="5101" width="20.28515625" style="220" customWidth="1"/>
    <col min="5102" max="5102" width="20.28515625" style="220" bestFit="1" customWidth="1"/>
    <col min="5103" max="5103" width="15.42578125" style="220" customWidth="1"/>
    <col min="5104" max="5104" width="20.7109375" style="220" bestFit="1" customWidth="1"/>
    <col min="5105" max="5107" width="20.7109375" style="220" customWidth="1"/>
    <col min="5108" max="5108" width="20.7109375" style="220" bestFit="1" customWidth="1"/>
    <col min="5109" max="5109" width="12.140625" style="220" customWidth="1"/>
    <col min="5110" max="5338" width="8.7109375" style="220" customWidth="1"/>
    <col min="5339" max="5339" width="7.28515625" style="220" customWidth="1"/>
    <col min="5340" max="5340" width="18.28515625" style="220" customWidth="1"/>
    <col min="5341" max="5341" width="23.42578125" style="220" bestFit="1" customWidth="1"/>
    <col min="5342" max="5343" width="10.140625" style="220" bestFit="1" customWidth="1"/>
    <col min="5344" max="5346" width="10.140625" style="220" customWidth="1"/>
    <col min="5347" max="5347" width="16.28515625" style="220" customWidth="1"/>
    <col min="5348" max="5348" width="20.28515625" style="220" bestFit="1" customWidth="1"/>
    <col min="5349" max="5351" width="20.28515625" style="220" customWidth="1"/>
    <col min="5352" max="5352" width="20.28515625" style="220" bestFit="1" customWidth="1"/>
    <col min="5353" max="5353" width="15.42578125" style="220" customWidth="1"/>
    <col min="5354" max="5354" width="20.28515625" style="220" bestFit="1" customWidth="1"/>
    <col min="5355" max="5357" width="20.28515625" style="220" customWidth="1"/>
    <col min="5358" max="5358" width="20.28515625" style="220" bestFit="1" customWidth="1"/>
    <col min="5359" max="5359" width="15.42578125" style="220" customWidth="1"/>
    <col min="5360" max="5360" width="20.7109375" style="220" bestFit="1" customWidth="1"/>
    <col min="5361" max="5363" width="20.7109375" style="220" customWidth="1"/>
    <col min="5364" max="5364" width="20.7109375" style="220" bestFit="1" customWidth="1"/>
    <col min="5365" max="5365" width="12.140625" style="220" customWidth="1"/>
    <col min="5366" max="5594" width="8.7109375" style="220" customWidth="1"/>
    <col min="5595" max="5595" width="7.28515625" style="220" customWidth="1"/>
    <col min="5596" max="5596" width="18.28515625" style="220" customWidth="1"/>
    <col min="5597" max="5597" width="23.42578125" style="220" bestFit="1" customWidth="1"/>
    <col min="5598" max="5599" width="10.140625" style="220" bestFit="1" customWidth="1"/>
    <col min="5600" max="5602" width="10.140625" style="220" customWidth="1"/>
    <col min="5603" max="5603" width="16.28515625" style="220" customWidth="1"/>
    <col min="5604" max="5604" width="20.28515625" style="220" bestFit="1" customWidth="1"/>
    <col min="5605" max="5607" width="20.28515625" style="220" customWidth="1"/>
    <col min="5608" max="5608" width="20.28515625" style="220" bestFit="1" customWidth="1"/>
    <col min="5609" max="5609" width="15.42578125" style="220" customWidth="1"/>
    <col min="5610" max="5610" width="20.28515625" style="220" bestFit="1" customWidth="1"/>
    <col min="5611" max="5613" width="20.28515625" style="220" customWidth="1"/>
    <col min="5614" max="5614" width="20.28515625" style="220" bestFit="1" customWidth="1"/>
    <col min="5615" max="5615" width="15.42578125" style="220" customWidth="1"/>
    <col min="5616" max="5616" width="20.7109375" style="220" bestFit="1" customWidth="1"/>
    <col min="5617" max="5619" width="20.7109375" style="220" customWidth="1"/>
    <col min="5620" max="5620" width="20.7109375" style="220" bestFit="1" customWidth="1"/>
    <col min="5621" max="5621" width="12.140625" style="220" customWidth="1"/>
    <col min="5622" max="5850" width="8.7109375" style="220" customWidth="1"/>
    <col min="5851" max="5851" width="7.28515625" style="220" customWidth="1"/>
    <col min="5852" max="5852" width="18.28515625" style="220" customWidth="1"/>
    <col min="5853" max="5853" width="23.42578125" style="220" bestFit="1" customWidth="1"/>
    <col min="5854" max="5855" width="10.140625" style="220" bestFit="1" customWidth="1"/>
    <col min="5856" max="5858" width="10.140625" style="220" customWidth="1"/>
    <col min="5859" max="5859" width="16.28515625" style="220" customWidth="1"/>
    <col min="5860" max="5860" width="20.28515625" style="220" bestFit="1" customWidth="1"/>
    <col min="5861" max="5863" width="20.28515625" style="220" customWidth="1"/>
    <col min="5864" max="5864" width="20.28515625" style="220" bestFit="1" customWidth="1"/>
    <col min="5865" max="5865" width="15.42578125" style="220" customWidth="1"/>
    <col min="5866" max="5866" width="20.28515625" style="220" bestFit="1" customWidth="1"/>
    <col min="5867" max="5869" width="20.28515625" style="220" customWidth="1"/>
    <col min="5870" max="5870" width="20.28515625" style="220" bestFit="1" customWidth="1"/>
    <col min="5871" max="5871" width="15.42578125" style="220" customWidth="1"/>
    <col min="5872" max="5872" width="20.7109375" style="220" bestFit="1" customWidth="1"/>
    <col min="5873" max="5875" width="20.7109375" style="220" customWidth="1"/>
    <col min="5876" max="5876" width="20.7109375" style="220" bestFit="1" customWidth="1"/>
    <col min="5877" max="5877" width="12.140625" style="220" customWidth="1"/>
    <col min="5878" max="6106" width="8.7109375" style="220" customWidth="1"/>
    <col min="6107" max="6107" width="7.28515625" style="220" customWidth="1"/>
    <col min="6108" max="6108" width="18.28515625" style="220" customWidth="1"/>
    <col min="6109" max="6109" width="23.42578125" style="220" bestFit="1" customWidth="1"/>
    <col min="6110" max="6111" width="10.140625" style="220" bestFit="1" customWidth="1"/>
    <col min="6112" max="6114" width="10.140625" style="220" customWidth="1"/>
    <col min="6115" max="6115" width="16.28515625" style="220" customWidth="1"/>
    <col min="6116" max="6116" width="20.28515625" style="220" bestFit="1" customWidth="1"/>
    <col min="6117" max="6119" width="20.28515625" style="220" customWidth="1"/>
    <col min="6120" max="6120" width="20.28515625" style="220" bestFit="1" customWidth="1"/>
    <col min="6121" max="6121" width="15.42578125" style="220" customWidth="1"/>
    <col min="6122" max="6122" width="20.28515625" style="220" bestFit="1" customWidth="1"/>
    <col min="6123" max="6125" width="20.28515625" style="220" customWidth="1"/>
    <col min="6126" max="6126" width="20.28515625" style="220" bestFit="1" customWidth="1"/>
    <col min="6127" max="6127" width="15.42578125" style="220" customWidth="1"/>
    <col min="6128" max="6128" width="20.7109375" style="220" bestFit="1" customWidth="1"/>
    <col min="6129" max="6131" width="20.7109375" style="220" customWidth="1"/>
    <col min="6132" max="6132" width="20.7109375" style="220" bestFit="1" customWidth="1"/>
    <col min="6133" max="6133" width="12.140625" style="220" customWidth="1"/>
    <col min="6134" max="6362" width="8.7109375" style="220" customWidth="1"/>
    <col min="6363" max="6363" width="7.28515625" style="220" customWidth="1"/>
    <col min="6364" max="6364" width="18.28515625" style="220" customWidth="1"/>
    <col min="6365" max="6365" width="23.42578125" style="220" bestFit="1" customWidth="1"/>
    <col min="6366" max="6367" width="10.140625" style="220" bestFit="1" customWidth="1"/>
    <col min="6368" max="6370" width="10.140625" style="220" customWidth="1"/>
    <col min="6371" max="6371" width="16.28515625" style="220" customWidth="1"/>
    <col min="6372" max="6372" width="20.28515625" style="220" bestFit="1" customWidth="1"/>
    <col min="6373" max="6375" width="20.28515625" style="220" customWidth="1"/>
    <col min="6376" max="6376" width="20.28515625" style="220" bestFit="1" customWidth="1"/>
    <col min="6377" max="6377" width="15.42578125" style="220" customWidth="1"/>
    <col min="6378" max="6378" width="20.28515625" style="220" bestFit="1" customWidth="1"/>
    <col min="6379" max="6381" width="20.28515625" style="220" customWidth="1"/>
    <col min="6382" max="6382" width="20.28515625" style="220" bestFit="1" customWidth="1"/>
    <col min="6383" max="6383" width="15.42578125" style="220" customWidth="1"/>
    <col min="6384" max="6384" width="20.7109375" style="220" bestFit="1" customWidth="1"/>
    <col min="6385" max="6387" width="20.7109375" style="220" customWidth="1"/>
    <col min="6388" max="6388" width="20.7109375" style="220" bestFit="1" customWidth="1"/>
    <col min="6389" max="6389" width="12.140625" style="220" customWidth="1"/>
    <col min="6390" max="6618" width="8.7109375" style="220" customWidth="1"/>
    <col min="6619" max="6619" width="7.28515625" style="220" customWidth="1"/>
    <col min="6620" max="6620" width="18.28515625" style="220" customWidth="1"/>
    <col min="6621" max="6621" width="23.42578125" style="220" bestFit="1" customWidth="1"/>
    <col min="6622" max="6623" width="10.140625" style="220" bestFit="1" customWidth="1"/>
    <col min="6624" max="6626" width="10.140625" style="220" customWidth="1"/>
    <col min="6627" max="6627" width="16.28515625" style="220" customWidth="1"/>
    <col min="6628" max="6628" width="20.28515625" style="220" bestFit="1" customWidth="1"/>
    <col min="6629" max="6631" width="20.28515625" style="220" customWidth="1"/>
    <col min="6632" max="6632" width="20.28515625" style="220" bestFit="1" customWidth="1"/>
    <col min="6633" max="6633" width="15.42578125" style="220" customWidth="1"/>
    <col min="6634" max="6634" width="20.28515625" style="220" bestFit="1" customWidth="1"/>
    <col min="6635" max="6637" width="20.28515625" style="220" customWidth="1"/>
    <col min="6638" max="6638" width="20.28515625" style="220" bestFit="1" customWidth="1"/>
    <col min="6639" max="6639" width="15.42578125" style="220" customWidth="1"/>
    <col min="6640" max="6640" width="20.7109375" style="220" bestFit="1" customWidth="1"/>
    <col min="6641" max="6643" width="20.7109375" style="220" customWidth="1"/>
    <col min="6644" max="6644" width="20.7109375" style="220" bestFit="1" customWidth="1"/>
    <col min="6645" max="6645" width="12.140625" style="220" customWidth="1"/>
    <col min="6646" max="6874" width="8.7109375" style="220" customWidth="1"/>
    <col min="6875" max="6875" width="7.28515625" style="220" customWidth="1"/>
    <col min="6876" max="6876" width="18.28515625" style="220" customWidth="1"/>
    <col min="6877" max="6877" width="23.42578125" style="220" bestFit="1" customWidth="1"/>
    <col min="6878" max="6879" width="10.140625" style="220" bestFit="1" customWidth="1"/>
    <col min="6880" max="6882" width="10.140625" style="220" customWidth="1"/>
    <col min="6883" max="6883" width="16.28515625" style="220" customWidth="1"/>
    <col min="6884" max="6884" width="20.28515625" style="220" bestFit="1" customWidth="1"/>
    <col min="6885" max="6887" width="20.28515625" style="220" customWidth="1"/>
    <col min="6888" max="6888" width="20.28515625" style="220" bestFit="1" customWidth="1"/>
    <col min="6889" max="6889" width="15.42578125" style="220" customWidth="1"/>
    <col min="6890" max="6890" width="20.28515625" style="220" bestFit="1" customWidth="1"/>
    <col min="6891" max="6893" width="20.28515625" style="220" customWidth="1"/>
    <col min="6894" max="6894" width="20.28515625" style="220" bestFit="1" customWidth="1"/>
    <col min="6895" max="6895" width="15.42578125" style="220" customWidth="1"/>
    <col min="6896" max="6896" width="20.7109375" style="220" bestFit="1" customWidth="1"/>
    <col min="6897" max="6899" width="20.7109375" style="220" customWidth="1"/>
    <col min="6900" max="6900" width="20.7109375" style="220" bestFit="1" customWidth="1"/>
    <col min="6901" max="6901" width="12.140625" style="220" customWidth="1"/>
    <col min="6902" max="7130" width="8.7109375" style="220" customWidth="1"/>
    <col min="7131" max="7131" width="7.28515625" style="220" customWidth="1"/>
    <col min="7132" max="7132" width="18.28515625" style="220" customWidth="1"/>
    <col min="7133" max="7133" width="23.42578125" style="220" bestFit="1" customWidth="1"/>
    <col min="7134" max="7135" width="10.140625" style="220" bestFit="1" customWidth="1"/>
    <col min="7136" max="7138" width="10.140625" style="220" customWidth="1"/>
    <col min="7139" max="7139" width="16.28515625" style="220" customWidth="1"/>
    <col min="7140" max="7140" width="20.28515625" style="220" bestFit="1" customWidth="1"/>
    <col min="7141" max="7143" width="20.28515625" style="220" customWidth="1"/>
    <col min="7144" max="7144" width="20.28515625" style="220" bestFit="1" customWidth="1"/>
    <col min="7145" max="7145" width="15.42578125" style="220" customWidth="1"/>
    <col min="7146" max="7146" width="20.28515625" style="220" bestFit="1" customWidth="1"/>
    <col min="7147" max="7149" width="20.28515625" style="220" customWidth="1"/>
    <col min="7150" max="7150" width="20.28515625" style="220" bestFit="1" customWidth="1"/>
    <col min="7151" max="7151" width="15.42578125" style="220" customWidth="1"/>
    <col min="7152" max="7152" width="20.7109375" style="220" bestFit="1" customWidth="1"/>
    <col min="7153" max="7155" width="20.7109375" style="220" customWidth="1"/>
    <col min="7156" max="7156" width="20.7109375" style="220" bestFit="1" customWidth="1"/>
    <col min="7157" max="7157" width="12.140625" style="220" customWidth="1"/>
    <col min="7158" max="7386" width="8.7109375" style="220" customWidth="1"/>
    <col min="7387" max="7387" width="7.28515625" style="220" customWidth="1"/>
    <col min="7388" max="7388" width="18.28515625" style="220" customWidth="1"/>
    <col min="7389" max="7389" width="23.42578125" style="220" bestFit="1" customWidth="1"/>
    <col min="7390" max="7391" width="10.140625" style="220" bestFit="1" customWidth="1"/>
    <col min="7392" max="7394" width="10.140625" style="220" customWidth="1"/>
    <col min="7395" max="7395" width="16.28515625" style="220" customWidth="1"/>
    <col min="7396" max="7396" width="20.28515625" style="220" bestFit="1" customWidth="1"/>
    <col min="7397" max="7399" width="20.28515625" style="220" customWidth="1"/>
    <col min="7400" max="7400" width="20.28515625" style="220" bestFit="1" customWidth="1"/>
    <col min="7401" max="7401" width="15.42578125" style="220" customWidth="1"/>
    <col min="7402" max="7402" width="20.28515625" style="220" bestFit="1" customWidth="1"/>
    <col min="7403" max="7405" width="20.28515625" style="220" customWidth="1"/>
    <col min="7406" max="7406" width="20.28515625" style="220" bestFit="1" customWidth="1"/>
    <col min="7407" max="7407" width="15.42578125" style="220" customWidth="1"/>
    <col min="7408" max="7408" width="20.7109375" style="220" bestFit="1" customWidth="1"/>
    <col min="7409" max="7411" width="20.7109375" style="220" customWidth="1"/>
    <col min="7412" max="7412" width="20.7109375" style="220" bestFit="1" customWidth="1"/>
    <col min="7413" max="7413" width="12.140625" style="220" customWidth="1"/>
    <col min="7414" max="7642" width="8.7109375" style="220" customWidth="1"/>
    <col min="7643" max="7643" width="7.28515625" style="220" customWidth="1"/>
    <col min="7644" max="7644" width="18.28515625" style="220" customWidth="1"/>
    <col min="7645" max="7645" width="23.42578125" style="220" bestFit="1" customWidth="1"/>
    <col min="7646" max="7647" width="10.140625" style="220" bestFit="1" customWidth="1"/>
    <col min="7648" max="7650" width="10.140625" style="220" customWidth="1"/>
    <col min="7651" max="7651" width="16.28515625" style="220" customWidth="1"/>
    <col min="7652" max="7652" width="20.28515625" style="220" bestFit="1" customWidth="1"/>
    <col min="7653" max="7655" width="20.28515625" style="220" customWidth="1"/>
    <col min="7656" max="7656" width="20.28515625" style="220" bestFit="1" customWidth="1"/>
    <col min="7657" max="7657" width="15.42578125" style="220" customWidth="1"/>
    <col min="7658" max="7658" width="20.28515625" style="220" bestFit="1" customWidth="1"/>
    <col min="7659" max="7661" width="20.28515625" style="220" customWidth="1"/>
    <col min="7662" max="7662" width="20.28515625" style="220" bestFit="1" customWidth="1"/>
    <col min="7663" max="7663" width="15.42578125" style="220" customWidth="1"/>
    <col min="7664" max="7664" width="20.7109375" style="220" bestFit="1" customWidth="1"/>
    <col min="7665" max="7667" width="20.7109375" style="220" customWidth="1"/>
    <col min="7668" max="7668" width="20.7109375" style="220" bestFit="1" customWidth="1"/>
    <col min="7669" max="7669" width="12.140625" style="220" customWidth="1"/>
    <col min="7670" max="7898" width="8.7109375" style="220" customWidth="1"/>
    <col min="7899" max="7899" width="7.28515625" style="220" customWidth="1"/>
    <col min="7900" max="7900" width="18.28515625" style="220" customWidth="1"/>
    <col min="7901" max="7901" width="23.42578125" style="220" bestFit="1" customWidth="1"/>
    <col min="7902" max="7903" width="10.140625" style="220" bestFit="1" customWidth="1"/>
    <col min="7904" max="7906" width="10.140625" style="220" customWidth="1"/>
    <col min="7907" max="7907" width="16.28515625" style="220" customWidth="1"/>
    <col min="7908" max="7908" width="20.28515625" style="220" bestFit="1" customWidth="1"/>
    <col min="7909" max="7911" width="20.28515625" style="220" customWidth="1"/>
    <col min="7912" max="7912" width="20.28515625" style="220" bestFit="1" customWidth="1"/>
    <col min="7913" max="7913" width="15.42578125" style="220" customWidth="1"/>
    <col min="7914" max="7914" width="20.28515625" style="220" bestFit="1" customWidth="1"/>
    <col min="7915" max="7917" width="20.28515625" style="220" customWidth="1"/>
    <col min="7918" max="7918" width="20.28515625" style="220" bestFit="1" customWidth="1"/>
    <col min="7919" max="7919" width="15.42578125" style="220" customWidth="1"/>
    <col min="7920" max="7920" width="20.7109375" style="220" bestFit="1" customWidth="1"/>
    <col min="7921" max="7923" width="20.7109375" style="220" customWidth="1"/>
    <col min="7924" max="7924" width="20.7109375" style="220" bestFit="1" customWidth="1"/>
    <col min="7925" max="7925" width="12.140625" style="220" customWidth="1"/>
    <col min="7926" max="8154" width="8.7109375" style="220" customWidth="1"/>
    <col min="8155" max="8155" width="7.28515625" style="220" customWidth="1"/>
    <col min="8156" max="8156" width="18.28515625" style="220" customWidth="1"/>
    <col min="8157" max="8157" width="23.42578125" style="220" bestFit="1" customWidth="1"/>
    <col min="8158" max="8159" width="10.140625" style="220" bestFit="1" customWidth="1"/>
    <col min="8160" max="8162" width="10.140625" style="220" customWidth="1"/>
    <col min="8163" max="8163" width="16.28515625" style="220" customWidth="1"/>
    <col min="8164" max="8164" width="20.28515625" style="220" bestFit="1" customWidth="1"/>
    <col min="8165" max="8167" width="20.28515625" style="220" customWidth="1"/>
    <col min="8168" max="8168" width="20.28515625" style="220" bestFit="1" customWidth="1"/>
    <col min="8169" max="8169" width="15.42578125" style="220" customWidth="1"/>
    <col min="8170" max="8170" width="20.28515625" style="220" bestFit="1" customWidth="1"/>
    <col min="8171" max="8173" width="20.28515625" style="220" customWidth="1"/>
    <col min="8174" max="8174" width="20.28515625" style="220" bestFit="1" customWidth="1"/>
    <col min="8175" max="8175" width="15.42578125" style="220" customWidth="1"/>
    <col min="8176" max="8176" width="20.7109375" style="220" bestFit="1" customWidth="1"/>
    <col min="8177" max="8179" width="20.7109375" style="220" customWidth="1"/>
    <col min="8180" max="8180" width="20.7109375" style="220" bestFit="1" customWidth="1"/>
    <col min="8181" max="8181" width="12.140625" style="220" customWidth="1"/>
    <col min="8182" max="8410" width="8.7109375" style="220" customWidth="1"/>
    <col min="8411" max="8411" width="7.28515625" style="220" customWidth="1"/>
    <col min="8412" max="8412" width="18.28515625" style="220" customWidth="1"/>
    <col min="8413" max="8413" width="23.42578125" style="220" bestFit="1" customWidth="1"/>
    <col min="8414" max="8415" width="10.140625" style="220" bestFit="1" customWidth="1"/>
    <col min="8416" max="8418" width="10.140625" style="220" customWidth="1"/>
    <col min="8419" max="8419" width="16.28515625" style="220" customWidth="1"/>
    <col min="8420" max="8420" width="20.28515625" style="220" bestFit="1" customWidth="1"/>
    <col min="8421" max="8423" width="20.28515625" style="220" customWidth="1"/>
    <col min="8424" max="8424" width="20.28515625" style="220" bestFit="1" customWidth="1"/>
    <col min="8425" max="8425" width="15.42578125" style="220" customWidth="1"/>
    <col min="8426" max="8426" width="20.28515625" style="220" bestFit="1" customWidth="1"/>
    <col min="8427" max="8429" width="20.28515625" style="220" customWidth="1"/>
    <col min="8430" max="8430" width="20.28515625" style="220" bestFit="1" customWidth="1"/>
    <col min="8431" max="8431" width="15.42578125" style="220" customWidth="1"/>
    <col min="8432" max="8432" width="20.7109375" style="220" bestFit="1" customWidth="1"/>
    <col min="8433" max="8435" width="20.7109375" style="220" customWidth="1"/>
    <col min="8436" max="8436" width="20.7109375" style="220" bestFit="1" customWidth="1"/>
    <col min="8437" max="8437" width="12.140625" style="220" customWidth="1"/>
    <col min="8438" max="8666" width="8.7109375" style="220" customWidth="1"/>
    <col min="8667" max="8667" width="7.28515625" style="220" customWidth="1"/>
    <col min="8668" max="8668" width="18.28515625" style="220" customWidth="1"/>
    <col min="8669" max="8669" width="23.42578125" style="220" bestFit="1" customWidth="1"/>
    <col min="8670" max="8671" width="10.140625" style="220" bestFit="1" customWidth="1"/>
    <col min="8672" max="8674" width="10.140625" style="220" customWidth="1"/>
    <col min="8675" max="8675" width="16.28515625" style="220" customWidth="1"/>
    <col min="8676" max="8676" width="20.28515625" style="220" bestFit="1" customWidth="1"/>
    <col min="8677" max="8679" width="20.28515625" style="220" customWidth="1"/>
    <col min="8680" max="8680" width="20.28515625" style="220" bestFit="1" customWidth="1"/>
    <col min="8681" max="8681" width="15.42578125" style="220" customWidth="1"/>
    <col min="8682" max="8682" width="20.28515625" style="220" bestFit="1" customWidth="1"/>
    <col min="8683" max="8685" width="20.28515625" style="220" customWidth="1"/>
    <col min="8686" max="8686" width="20.28515625" style="220" bestFit="1" customWidth="1"/>
    <col min="8687" max="8687" width="15.42578125" style="220" customWidth="1"/>
    <col min="8688" max="8688" width="20.7109375" style="220" bestFit="1" customWidth="1"/>
    <col min="8689" max="8691" width="20.7109375" style="220" customWidth="1"/>
    <col min="8692" max="8692" width="20.7109375" style="220" bestFit="1" customWidth="1"/>
    <col min="8693" max="8693" width="12.140625" style="220" customWidth="1"/>
    <col min="8694" max="8922" width="8.7109375" style="220" customWidth="1"/>
    <col min="8923" max="8923" width="7.28515625" style="220" customWidth="1"/>
    <col min="8924" max="8924" width="18.28515625" style="220" customWidth="1"/>
    <col min="8925" max="8925" width="23.42578125" style="220" bestFit="1" customWidth="1"/>
    <col min="8926" max="8927" width="10.140625" style="220" bestFit="1" customWidth="1"/>
    <col min="8928" max="8930" width="10.140625" style="220" customWidth="1"/>
    <col min="8931" max="8931" width="16.28515625" style="220" customWidth="1"/>
    <col min="8932" max="8932" width="20.28515625" style="220" bestFit="1" customWidth="1"/>
    <col min="8933" max="8935" width="20.28515625" style="220" customWidth="1"/>
    <col min="8936" max="8936" width="20.28515625" style="220" bestFit="1" customWidth="1"/>
    <col min="8937" max="8937" width="15.42578125" style="220" customWidth="1"/>
    <col min="8938" max="8938" width="20.28515625" style="220" bestFit="1" customWidth="1"/>
    <col min="8939" max="8941" width="20.28515625" style="220" customWidth="1"/>
    <col min="8942" max="8942" width="20.28515625" style="220" bestFit="1" customWidth="1"/>
    <col min="8943" max="8943" width="15.42578125" style="220" customWidth="1"/>
    <col min="8944" max="8944" width="20.7109375" style="220" bestFit="1" customWidth="1"/>
    <col min="8945" max="8947" width="20.7109375" style="220" customWidth="1"/>
    <col min="8948" max="8948" width="20.7109375" style="220" bestFit="1" customWidth="1"/>
    <col min="8949" max="8949" width="12.140625" style="220" customWidth="1"/>
    <col min="8950" max="9178" width="8.7109375" style="220" customWidth="1"/>
    <col min="9179" max="9179" width="7.28515625" style="220" customWidth="1"/>
    <col min="9180" max="9180" width="18.28515625" style="220" customWidth="1"/>
    <col min="9181" max="9181" width="23.42578125" style="220" bestFit="1" customWidth="1"/>
    <col min="9182" max="9183" width="10.140625" style="220" bestFit="1" customWidth="1"/>
    <col min="9184" max="9186" width="10.140625" style="220" customWidth="1"/>
    <col min="9187" max="9187" width="16.28515625" style="220" customWidth="1"/>
    <col min="9188" max="9188" width="20.28515625" style="220" bestFit="1" customWidth="1"/>
    <col min="9189" max="9191" width="20.28515625" style="220" customWidth="1"/>
    <col min="9192" max="9192" width="20.28515625" style="220" bestFit="1" customWidth="1"/>
    <col min="9193" max="9193" width="15.42578125" style="220" customWidth="1"/>
    <col min="9194" max="9194" width="20.28515625" style="220" bestFit="1" customWidth="1"/>
    <col min="9195" max="9197" width="20.28515625" style="220" customWidth="1"/>
    <col min="9198" max="9198" width="20.28515625" style="220" bestFit="1" customWidth="1"/>
    <col min="9199" max="9199" width="15.42578125" style="220" customWidth="1"/>
    <col min="9200" max="9200" width="20.7109375" style="220" bestFit="1" customWidth="1"/>
    <col min="9201" max="9203" width="20.7109375" style="220" customWidth="1"/>
    <col min="9204" max="9204" width="20.7109375" style="220" bestFit="1" customWidth="1"/>
    <col min="9205" max="9205" width="12.140625" style="220" customWidth="1"/>
    <col min="9206" max="9434" width="8.7109375" style="220" customWidth="1"/>
    <col min="9435" max="9435" width="7.28515625" style="220" customWidth="1"/>
    <col min="9436" max="9436" width="18.28515625" style="220" customWidth="1"/>
    <col min="9437" max="9437" width="23.42578125" style="220" bestFit="1" customWidth="1"/>
    <col min="9438" max="9439" width="10.140625" style="220" bestFit="1" customWidth="1"/>
    <col min="9440" max="9442" width="10.140625" style="220" customWidth="1"/>
    <col min="9443" max="9443" width="16.28515625" style="220" customWidth="1"/>
    <col min="9444" max="9444" width="20.28515625" style="220" bestFit="1" customWidth="1"/>
    <col min="9445" max="9447" width="20.28515625" style="220" customWidth="1"/>
    <col min="9448" max="9448" width="20.28515625" style="220" bestFit="1" customWidth="1"/>
    <col min="9449" max="9449" width="15.42578125" style="220" customWidth="1"/>
    <col min="9450" max="9450" width="20.28515625" style="220" bestFit="1" customWidth="1"/>
    <col min="9451" max="9453" width="20.28515625" style="220" customWidth="1"/>
    <col min="9454" max="9454" width="20.28515625" style="220" bestFit="1" customWidth="1"/>
    <col min="9455" max="9455" width="15.42578125" style="220" customWidth="1"/>
    <col min="9456" max="9456" width="20.7109375" style="220" bestFit="1" customWidth="1"/>
    <col min="9457" max="9459" width="20.7109375" style="220" customWidth="1"/>
    <col min="9460" max="9460" width="20.7109375" style="220" bestFit="1" customWidth="1"/>
    <col min="9461" max="9461" width="12.140625" style="220" customWidth="1"/>
    <col min="9462" max="9690" width="8.7109375" style="220" customWidth="1"/>
    <col min="9691" max="9691" width="7.28515625" style="220" customWidth="1"/>
    <col min="9692" max="9692" width="18.28515625" style="220" customWidth="1"/>
    <col min="9693" max="9693" width="23.42578125" style="220" bestFit="1" customWidth="1"/>
    <col min="9694" max="9695" width="10.140625" style="220" bestFit="1" customWidth="1"/>
    <col min="9696" max="9698" width="10.140625" style="220" customWidth="1"/>
    <col min="9699" max="9699" width="16.28515625" style="220" customWidth="1"/>
    <col min="9700" max="9700" width="20.28515625" style="220" bestFit="1" customWidth="1"/>
    <col min="9701" max="9703" width="20.28515625" style="220" customWidth="1"/>
    <col min="9704" max="9704" width="20.28515625" style="220" bestFit="1" customWidth="1"/>
    <col min="9705" max="9705" width="15.42578125" style="220" customWidth="1"/>
    <col min="9706" max="9706" width="20.28515625" style="220" bestFit="1" customWidth="1"/>
    <col min="9707" max="9709" width="20.28515625" style="220" customWidth="1"/>
    <col min="9710" max="9710" width="20.28515625" style="220" bestFit="1" customWidth="1"/>
    <col min="9711" max="9711" width="15.42578125" style="220" customWidth="1"/>
    <col min="9712" max="9712" width="20.7109375" style="220" bestFit="1" customWidth="1"/>
    <col min="9713" max="9715" width="20.7109375" style="220" customWidth="1"/>
    <col min="9716" max="9716" width="20.7109375" style="220" bestFit="1" customWidth="1"/>
    <col min="9717" max="9717" width="12.140625" style="220" customWidth="1"/>
    <col min="9718" max="9946" width="8.7109375" style="220" customWidth="1"/>
    <col min="9947" max="9947" width="7.28515625" style="220" customWidth="1"/>
    <col min="9948" max="9948" width="18.28515625" style="220" customWidth="1"/>
    <col min="9949" max="9949" width="23.42578125" style="220" bestFit="1" customWidth="1"/>
    <col min="9950" max="9951" width="10.140625" style="220" bestFit="1" customWidth="1"/>
    <col min="9952" max="9954" width="10.140625" style="220" customWidth="1"/>
    <col min="9955" max="9955" width="16.28515625" style="220" customWidth="1"/>
    <col min="9956" max="9956" width="20.28515625" style="220" bestFit="1" customWidth="1"/>
    <col min="9957" max="9959" width="20.28515625" style="220" customWidth="1"/>
    <col min="9960" max="9960" width="20.28515625" style="220" bestFit="1" customWidth="1"/>
    <col min="9961" max="9961" width="15.42578125" style="220" customWidth="1"/>
    <col min="9962" max="9962" width="20.28515625" style="220" bestFit="1" customWidth="1"/>
    <col min="9963" max="9965" width="20.28515625" style="220" customWidth="1"/>
    <col min="9966" max="9966" width="20.28515625" style="220" bestFit="1" customWidth="1"/>
    <col min="9967" max="9967" width="15.42578125" style="220" customWidth="1"/>
    <col min="9968" max="9968" width="20.7109375" style="220" bestFit="1" customWidth="1"/>
    <col min="9969" max="9971" width="20.7109375" style="220" customWidth="1"/>
    <col min="9972" max="9972" width="20.7109375" style="220" bestFit="1" customWidth="1"/>
    <col min="9973" max="9973" width="12.140625" style="220" customWidth="1"/>
    <col min="9974" max="10202" width="8.7109375" style="220" customWidth="1"/>
    <col min="10203" max="10203" width="7.28515625" style="220" customWidth="1"/>
    <col min="10204" max="10204" width="18.28515625" style="220" customWidth="1"/>
    <col min="10205" max="10205" width="23.42578125" style="220" bestFit="1" customWidth="1"/>
    <col min="10206" max="10207" width="10.140625" style="220" bestFit="1" customWidth="1"/>
    <col min="10208" max="10210" width="10.140625" style="220" customWidth="1"/>
    <col min="10211" max="10211" width="16.28515625" style="220" customWidth="1"/>
    <col min="10212" max="10212" width="20.28515625" style="220" bestFit="1" customWidth="1"/>
    <col min="10213" max="10215" width="20.28515625" style="220" customWidth="1"/>
    <col min="10216" max="10216" width="20.28515625" style="220" bestFit="1" customWidth="1"/>
    <col min="10217" max="10217" width="15.42578125" style="220" customWidth="1"/>
    <col min="10218" max="10218" width="20.28515625" style="220" bestFit="1" customWidth="1"/>
    <col min="10219" max="10221" width="20.28515625" style="220" customWidth="1"/>
    <col min="10222" max="10222" width="20.28515625" style="220" bestFit="1" customWidth="1"/>
    <col min="10223" max="10223" width="15.42578125" style="220" customWidth="1"/>
    <col min="10224" max="10224" width="20.7109375" style="220" bestFit="1" customWidth="1"/>
    <col min="10225" max="10227" width="20.7109375" style="220" customWidth="1"/>
    <col min="10228" max="10228" width="20.7109375" style="220" bestFit="1" customWidth="1"/>
    <col min="10229" max="10229" width="12.140625" style="220" customWidth="1"/>
    <col min="10230" max="10458" width="8.7109375" style="220" customWidth="1"/>
    <col min="10459" max="10459" width="7.28515625" style="220" customWidth="1"/>
    <col min="10460" max="10460" width="18.28515625" style="220" customWidth="1"/>
    <col min="10461" max="10461" width="23.42578125" style="220" bestFit="1" customWidth="1"/>
    <col min="10462" max="10463" width="10.140625" style="220" bestFit="1" customWidth="1"/>
    <col min="10464" max="10466" width="10.140625" style="220" customWidth="1"/>
    <col min="10467" max="10467" width="16.28515625" style="220" customWidth="1"/>
    <col min="10468" max="10468" width="20.28515625" style="220" bestFit="1" customWidth="1"/>
    <col min="10469" max="10471" width="20.28515625" style="220" customWidth="1"/>
    <col min="10472" max="10472" width="20.28515625" style="220" bestFit="1" customWidth="1"/>
    <col min="10473" max="10473" width="15.42578125" style="220" customWidth="1"/>
    <col min="10474" max="10474" width="20.28515625" style="220" bestFit="1" customWidth="1"/>
    <col min="10475" max="10477" width="20.28515625" style="220" customWidth="1"/>
    <col min="10478" max="10478" width="20.28515625" style="220" bestFit="1" customWidth="1"/>
    <col min="10479" max="10479" width="15.42578125" style="220" customWidth="1"/>
    <col min="10480" max="10480" width="20.7109375" style="220" bestFit="1" customWidth="1"/>
    <col min="10481" max="10483" width="20.7109375" style="220" customWidth="1"/>
    <col min="10484" max="10484" width="20.7109375" style="220" bestFit="1" customWidth="1"/>
    <col min="10485" max="10485" width="12.140625" style="220" customWidth="1"/>
    <col min="10486" max="10714" width="8.7109375" style="220" customWidth="1"/>
    <col min="10715" max="10715" width="7.28515625" style="220" customWidth="1"/>
    <col min="10716" max="10716" width="18.28515625" style="220" customWidth="1"/>
    <col min="10717" max="10717" width="23.42578125" style="220" bestFit="1" customWidth="1"/>
    <col min="10718" max="10719" width="10.140625" style="220" bestFit="1" customWidth="1"/>
    <col min="10720" max="10722" width="10.140625" style="220" customWidth="1"/>
    <col min="10723" max="10723" width="16.28515625" style="220" customWidth="1"/>
    <col min="10724" max="10724" width="20.28515625" style="220" bestFit="1" customWidth="1"/>
    <col min="10725" max="10727" width="20.28515625" style="220" customWidth="1"/>
    <col min="10728" max="10728" width="20.28515625" style="220" bestFit="1" customWidth="1"/>
    <col min="10729" max="10729" width="15.42578125" style="220" customWidth="1"/>
    <col min="10730" max="10730" width="20.28515625" style="220" bestFit="1" customWidth="1"/>
    <col min="10731" max="10733" width="20.28515625" style="220" customWidth="1"/>
    <col min="10734" max="10734" width="20.28515625" style="220" bestFit="1" customWidth="1"/>
    <col min="10735" max="10735" width="15.42578125" style="220" customWidth="1"/>
    <col min="10736" max="10736" width="20.7109375" style="220" bestFit="1" customWidth="1"/>
    <col min="10737" max="10739" width="20.7109375" style="220" customWidth="1"/>
    <col min="10740" max="10740" width="20.7109375" style="220" bestFit="1" customWidth="1"/>
    <col min="10741" max="10741" width="12.140625" style="220" customWidth="1"/>
    <col min="10742" max="10970" width="8.7109375" style="220" customWidth="1"/>
    <col min="10971" max="10971" width="7.28515625" style="220" customWidth="1"/>
    <col min="10972" max="10972" width="18.28515625" style="220" customWidth="1"/>
    <col min="10973" max="10973" width="23.42578125" style="220" bestFit="1" customWidth="1"/>
    <col min="10974" max="10975" width="10.140625" style="220" bestFit="1" customWidth="1"/>
    <col min="10976" max="10978" width="10.140625" style="220" customWidth="1"/>
    <col min="10979" max="10979" width="16.28515625" style="220" customWidth="1"/>
    <col min="10980" max="10980" width="20.28515625" style="220" bestFit="1" customWidth="1"/>
    <col min="10981" max="10983" width="20.28515625" style="220" customWidth="1"/>
    <col min="10984" max="10984" width="20.28515625" style="220" bestFit="1" customWidth="1"/>
    <col min="10985" max="10985" width="15.42578125" style="220" customWidth="1"/>
    <col min="10986" max="10986" width="20.28515625" style="220" bestFit="1" customWidth="1"/>
    <col min="10987" max="10989" width="20.28515625" style="220" customWidth="1"/>
    <col min="10990" max="10990" width="20.28515625" style="220" bestFit="1" customWidth="1"/>
    <col min="10991" max="10991" width="15.42578125" style="220" customWidth="1"/>
    <col min="10992" max="10992" width="20.7109375" style="220" bestFit="1" customWidth="1"/>
    <col min="10993" max="10995" width="20.7109375" style="220" customWidth="1"/>
    <col min="10996" max="10996" width="20.7109375" style="220" bestFit="1" customWidth="1"/>
    <col min="10997" max="10997" width="12.140625" style="220" customWidth="1"/>
    <col min="10998" max="11226" width="8.7109375" style="220" customWidth="1"/>
    <col min="11227" max="11227" width="7.28515625" style="220" customWidth="1"/>
    <col min="11228" max="11228" width="18.28515625" style="220" customWidth="1"/>
    <col min="11229" max="11229" width="23.42578125" style="220" bestFit="1" customWidth="1"/>
    <col min="11230" max="11231" width="10.140625" style="220" bestFit="1" customWidth="1"/>
    <col min="11232" max="11234" width="10.140625" style="220" customWidth="1"/>
    <col min="11235" max="11235" width="16.28515625" style="220" customWidth="1"/>
    <col min="11236" max="11236" width="20.28515625" style="220" bestFit="1" customWidth="1"/>
    <col min="11237" max="11239" width="20.28515625" style="220" customWidth="1"/>
    <col min="11240" max="11240" width="20.28515625" style="220" bestFit="1" customWidth="1"/>
    <col min="11241" max="11241" width="15.42578125" style="220" customWidth="1"/>
    <col min="11242" max="11242" width="20.28515625" style="220" bestFit="1" customWidth="1"/>
    <col min="11243" max="11245" width="20.28515625" style="220" customWidth="1"/>
    <col min="11246" max="11246" width="20.28515625" style="220" bestFit="1" customWidth="1"/>
    <col min="11247" max="11247" width="15.42578125" style="220" customWidth="1"/>
    <col min="11248" max="11248" width="20.7109375" style="220" bestFit="1" customWidth="1"/>
    <col min="11249" max="11251" width="20.7109375" style="220" customWidth="1"/>
    <col min="11252" max="11252" width="20.7109375" style="220" bestFit="1" customWidth="1"/>
    <col min="11253" max="11253" width="12.140625" style="220" customWidth="1"/>
    <col min="11254" max="11482" width="8.7109375" style="220" customWidth="1"/>
    <col min="11483" max="11483" width="7.28515625" style="220" customWidth="1"/>
    <col min="11484" max="11484" width="18.28515625" style="220" customWidth="1"/>
    <col min="11485" max="11485" width="23.42578125" style="220" bestFit="1" customWidth="1"/>
    <col min="11486" max="11487" width="10.140625" style="220" bestFit="1" customWidth="1"/>
    <col min="11488" max="11490" width="10.140625" style="220" customWidth="1"/>
    <col min="11491" max="11491" width="16.28515625" style="220" customWidth="1"/>
    <col min="11492" max="11492" width="20.28515625" style="220" bestFit="1" customWidth="1"/>
    <col min="11493" max="11495" width="20.28515625" style="220" customWidth="1"/>
    <col min="11496" max="11496" width="20.28515625" style="220" bestFit="1" customWidth="1"/>
    <col min="11497" max="11497" width="15.42578125" style="220" customWidth="1"/>
    <col min="11498" max="11498" width="20.28515625" style="220" bestFit="1" customWidth="1"/>
    <col min="11499" max="11501" width="20.28515625" style="220" customWidth="1"/>
    <col min="11502" max="11502" width="20.28515625" style="220" bestFit="1" customWidth="1"/>
    <col min="11503" max="11503" width="15.42578125" style="220" customWidth="1"/>
    <col min="11504" max="11504" width="20.7109375" style="220" bestFit="1" customWidth="1"/>
    <col min="11505" max="11507" width="20.7109375" style="220" customWidth="1"/>
    <col min="11508" max="11508" width="20.7109375" style="220" bestFit="1" customWidth="1"/>
    <col min="11509" max="11509" width="12.140625" style="220" customWidth="1"/>
    <col min="11510" max="11738" width="8.7109375" style="220" customWidth="1"/>
    <col min="11739" max="11739" width="7.28515625" style="220" customWidth="1"/>
    <col min="11740" max="11740" width="18.28515625" style="220" customWidth="1"/>
    <col min="11741" max="11741" width="23.42578125" style="220" bestFit="1" customWidth="1"/>
    <col min="11742" max="11743" width="10.140625" style="220" bestFit="1" customWidth="1"/>
    <col min="11744" max="11746" width="10.140625" style="220" customWidth="1"/>
    <col min="11747" max="11747" width="16.28515625" style="220" customWidth="1"/>
    <col min="11748" max="11748" width="20.28515625" style="220" bestFit="1" customWidth="1"/>
    <col min="11749" max="11751" width="20.28515625" style="220" customWidth="1"/>
    <col min="11752" max="11752" width="20.28515625" style="220" bestFit="1" customWidth="1"/>
    <col min="11753" max="11753" width="15.42578125" style="220" customWidth="1"/>
    <col min="11754" max="11754" width="20.28515625" style="220" bestFit="1" customWidth="1"/>
    <col min="11755" max="11757" width="20.28515625" style="220" customWidth="1"/>
    <col min="11758" max="11758" width="20.28515625" style="220" bestFit="1" customWidth="1"/>
    <col min="11759" max="11759" width="15.42578125" style="220" customWidth="1"/>
    <col min="11760" max="11760" width="20.7109375" style="220" bestFit="1" customWidth="1"/>
    <col min="11761" max="11763" width="20.7109375" style="220" customWidth="1"/>
    <col min="11764" max="11764" width="20.7109375" style="220" bestFit="1" customWidth="1"/>
    <col min="11765" max="11765" width="12.140625" style="220" customWidth="1"/>
    <col min="11766" max="11994" width="8.7109375" style="220" customWidth="1"/>
    <col min="11995" max="11995" width="7.28515625" style="220" customWidth="1"/>
    <col min="11996" max="11996" width="18.28515625" style="220" customWidth="1"/>
    <col min="11997" max="11997" width="23.42578125" style="220" bestFit="1" customWidth="1"/>
    <col min="11998" max="11999" width="10.140625" style="220" bestFit="1" customWidth="1"/>
    <col min="12000" max="12002" width="10.140625" style="220" customWidth="1"/>
    <col min="12003" max="12003" width="16.28515625" style="220" customWidth="1"/>
    <col min="12004" max="12004" width="20.28515625" style="220" bestFit="1" customWidth="1"/>
    <col min="12005" max="12007" width="20.28515625" style="220" customWidth="1"/>
    <col min="12008" max="12008" width="20.28515625" style="220" bestFit="1" customWidth="1"/>
    <col min="12009" max="12009" width="15.42578125" style="220" customWidth="1"/>
    <col min="12010" max="12010" width="20.28515625" style="220" bestFit="1" customWidth="1"/>
    <col min="12011" max="12013" width="20.28515625" style="220" customWidth="1"/>
    <col min="12014" max="12014" width="20.28515625" style="220" bestFit="1" customWidth="1"/>
    <col min="12015" max="12015" width="15.42578125" style="220" customWidth="1"/>
    <col min="12016" max="12016" width="20.7109375" style="220" bestFit="1" customWidth="1"/>
    <col min="12017" max="12019" width="20.7109375" style="220" customWidth="1"/>
    <col min="12020" max="12020" width="20.7109375" style="220" bestFit="1" customWidth="1"/>
    <col min="12021" max="12021" width="12.140625" style="220" customWidth="1"/>
    <col min="12022" max="12250" width="8.7109375" style="220" customWidth="1"/>
    <col min="12251" max="12251" width="7.28515625" style="220" customWidth="1"/>
    <col min="12252" max="12252" width="18.28515625" style="220" customWidth="1"/>
    <col min="12253" max="12253" width="23.42578125" style="220" bestFit="1" customWidth="1"/>
    <col min="12254" max="12255" width="10.140625" style="220" bestFit="1" customWidth="1"/>
    <col min="12256" max="12258" width="10.140625" style="220" customWidth="1"/>
    <col min="12259" max="12259" width="16.28515625" style="220" customWidth="1"/>
    <col min="12260" max="12260" width="20.28515625" style="220" bestFit="1" customWidth="1"/>
    <col min="12261" max="12263" width="20.28515625" style="220" customWidth="1"/>
    <col min="12264" max="12264" width="20.28515625" style="220" bestFit="1" customWidth="1"/>
    <col min="12265" max="12265" width="15.42578125" style="220" customWidth="1"/>
    <col min="12266" max="12266" width="20.28515625" style="220" bestFit="1" customWidth="1"/>
    <col min="12267" max="12269" width="20.28515625" style="220" customWidth="1"/>
    <col min="12270" max="12270" width="20.28515625" style="220" bestFit="1" customWidth="1"/>
    <col min="12271" max="12271" width="15.42578125" style="220" customWidth="1"/>
    <col min="12272" max="12272" width="20.7109375" style="220" bestFit="1" customWidth="1"/>
    <col min="12273" max="12275" width="20.7109375" style="220" customWidth="1"/>
    <col min="12276" max="12276" width="20.7109375" style="220" bestFit="1" customWidth="1"/>
    <col min="12277" max="12277" width="12.140625" style="220" customWidth="1"/>
    <col min="12278" max="12506" width="8.7109375" style="220" customWidth="1"/>
    <col min="12507" max="12507" width="7.28515625" style="220" customWidth="1"/>
    <col min="12508" max="12508" width="18.28515625" style="220" customWidth="1"/>
    <col min="12509" max="12509" width="23.42578125" style="220" bestFit="1" customWidth="1"/>
    <col min="12510" max="12511" width="10.140625" style="220" bestFit="1" customWidth="1"/>
    <col min="12512" max="12514" width="10.140625" style="220" customWidth="1"/>
    <col min="12515" max="12515" width="16.28515625" style="220" customWidth="1"/>
    <col min="12516" max="12516" width="20.28515625" style="220" bestFit="1" customWidth="1"/>
    <col min="12517" max="12519" width="20.28515625" style="220" customWidth="1"/>
    <col min="12520" max="12520" width="20.28515625" style="220" bestFit="1" customWidth="1"/>
    <col min="12521" max="12521" width="15.42578125" style="220" customWidth="1"/>
    <col min="12522" max="12522" width="20.28515625" style="220" bestFit="1" customWidth="1"/>
    <col min="12523" max="12525" width="20.28515625" style="220" customWidth="1"/>
    <col min="12526" max="12526" width="20.28515625" style="220" bestFit="1" customWidth="1"/>
    <col min="12527" max="12527" width="15.42578125" style="220" customWidth="1"/>
    <col min="12528" max="12528" width="20.7109375" style="220" bestFit="1" customWidth="1"/>
    <col min="12529" max="12531" width="20.7109375" style="220" customWidth="1"/>
    <col min="12532" max="12532" width="20.7109375" style="220" bestFit="1" customWidth="1"/>
    <col min="12533" max="12533" width="12.140625" style="220" customWidth="1"/>
    <col min="12534" max="12762" width="8.7109375" style="220" customWidth="1"/>
    <col min="12763" max="12763" width="7.28515625" style="220" customWidth="1"/>
    <col min="12764" max="12764" width="18.28515625" style="220" customWidth="1"/>
    <col min="12765" max="12765" width="23.42578125" style="220" bestFit="1" customWidth="1"/>
    <col min="12766" max="12767" width="10.140625" style="220" bestFit="1" customWidth="1"/>
    <col min="12768" max="12770" width="10.140625" style="220" customWidth="1"/>
    <col min="12771" max="12771" width="16.28515625" style="220" customWidth="1"/>
    <col min="12772" max="12772" width="20.28515625" style="220" bestFit="1" customWidth="1"/>
    <col min="12773" max="12775" width="20.28515625" style="220" customWidth="1"/>
    <col min="12776" max="12776" width="20.28515625" style="220" bestFit="1" customWidth="1"/>
    <col min="12777" max="12777" width="15.42578125" style="220" customWidth="1"/>
    <col min="12778" max="12778" width="20.28515625" style="220" bestFit="1" customWidth="1"/>
    <col min="12779" max="12781" width="20.28515625" style="220" customWidth="1"/>
    <col min="12782" max="12782" width="20.28515625" style="220" bestFit="1" customWidth="1"/>
    <col min="12783" max="12783" width="15.42578125" style="220" customWidth="1"/>
    <col min="12784" max="12784" width="20.7109375" style="220" bestFit="1" customWidth="1"/>
    <col min="12785" max="12787" width="20.7109375" style="220" customWidth="1"/>
    <col min="12788" max="12788" width="20.7109375" style="220" bestFit="1" customWidth="1"/>
    <col min="12789" max="12789" width="12.140625" style="220" customWidth="1"/>
    <col min="12790" max="13018" width="8.7109375" style="220" customWidth="1"/>
    <col min="13019" max="13019" width="7.28515625" style="220" customWidth="1"/>
    <col min="13020" max="13020" width="18.28515625" style="220" customWidth="1"/>
    <col min="13021" max="13021" width="23.42578125" style="220" bestFit="1" customWidth="1"/>
    <col min="13022" max="13023" width="10.140625" style="220" bestFit="1" customWidth="1"/>
    <col min="13024" max="13026" width="10.140625" style="220" customWidth="1"/>
    <col min="13027" max="13027" width="16.28515625" style="220" customWidth="1"/>
    <col min="13028" max="13028" width="20.28515625" style="220" bestFit="1" customWidth="1"/>
    <col min="13029" max="13031" width="20.28515625" style="220" customWidth="1"/>
    <col min="13032" max="13032" width="20.28515625" style="220" bestFit="1" customWidth="1"/>
    <col min="13033" max="13033" width="15.42578125" style="220" customWidth="1"/>
    <col min="13034" max="13034" width="20.28515625" style="220" bestFit="1" customWidth="1"/>
    <col min="13035" max="13037" width="20.28515625" style="220" customWidth="1"/>
    <col min="13038" max="13038" width="20.28515625" style="220" bestFit="1" customWidth="1"/>
    <col min="13039" max="13039" width="15.42578125" style="220" customWidth="1"/>
    <col min="13040" max="13040" width="20.7109375" style="220" bestFit="1" customWidth="1"/>
    <col min="13041" max="13043" width="20.7109375" style="220" customWidth="1"/>
    <col min="13044" max="13044" width="20.7109375" style="220" bestFit="1" customWidth="1"/>
    <col min="13045" max="13045" width="12.140625" style="220" customWidth="1"/>
    <col min="13046" max="13274" width="8.7109375" style="220" customWidth="1"/>
    <col min="13275" max="13275" width="7.28515625" style="220" customWidth="1"/>
    <col min="13276" max="13276" width="18.28515625" style="220" customWidth="1"/>
    <col min="13277" max="13277" width="23.42578125" style="220" bestFit="1" customWidth="1"/>
    <col min="13278" max="13279" width="10.140625" style="220" bestFit="1" customWidth="1"/>
    <col min="13280" max="13282" width="10.140625" style="220" customWidth="1"/>
    <col min="13283" max="13283" width="16.28515625" style="220" customWidth="1"/>
    <col min="13284" max="13284" width="20.28515625" style="220" bestFit="1" customWidth="1"/>
    <col min="13285" max="13287" width="20.28515625" style="220" customWidth="1"/>
    <col min="13288" max="13288" width="20.28515625" style="220" bestFit="1" customWidth="1"/>
    <col min="13289" max="13289" width="15.42578125" style="220" customWidth="1"/>
    <col min="13290" max="13290" width="20.28515625" style="220" bestFit="1" customWidth="1"/>
    <col min="13291" max="13293" width="20.28515625" style="220" customWidth="1"/>
    <col min="13294" max="13294" width="20.28515625" style="220" bestFit="1" customWidth="1"/>
    <col min="13295" max="13295" width="15.42578125" style="220" customWidth="1"/>
    <col min="13296" max="13296" width="20.7109375" style="220" bestFit="1" customWidth="1"/>
    <col min="13297" max="13299" width="20.7109375" style="220" customWidth="1"/>
    <col min="13300" max="13300" width="20.7109375" style="220" bestFit="1" customWidth="1"/>
    <col min="13301" max="13301" width="12.140625" style="220" customWidth="1"/>
    <col min="13302" max="13530" width="8.7109375" style="220" customWidth="1"/>
    <col min="13531" max="13531" width="7.28515625" style="220" customWidth="1"/>
    <col min="13532" max="13532" width="18.28515625" style="220" customWidth="1"/>
    <col min="13533" max="13533" width="23.42578125" style="220" bestFit="1" customWidth="1"/>
    <col min="13534" max="13535" width="10.140625" style="220" bestFit="1" customWidth="1"/>
    <col min="13536" max="13538" width="10.140625" style="220" customWidth="1"/>
    <col min="13539" max="13539" width="16.28515625" style="220" customWidth="1"/>
    <col min="13540" max="13540" width="20.28515625" style="220" bestFit="1" customWidth="1"/>
    <col min="13541" max="13543" width="20.28515625" style="220" customWidth="1"/>
    <col min="13544" max="13544" width="20.28515625" style="220" bestFit="1" customWidth="1"/>
    <col min="13545" max="13545" width="15.42578125" style="220" customWidth="1"/>
    <col min="13546" max="13546" width="20.28515625" style="220" bestFit="1" customWidth="1"/>
    <col min="13547" max="13549" width="20.28515625" style="220" customWidth="1"/>
    <col min="13550" max="13550" width="20.28515625" style="220" bestFit="1" customWidth="1"/>
    <col min="13551" max="13551" width="15.42578125" style="220" customWidth="1"/>
    <col min="13552" max="13552" width="20.7109375" style="220" bestFit="1" customWidth="1"/>
    <col min="13553" max="13555" width="20.7109375" style="220" customWidth="1"/>
    <col min="13556" max="13556" width="20.7109375" style="220" bestFit="1" customWidth="1"/>
    <col min="13557" max="13557" width="12.140625" style="220" customWidth="1"/>
    <col min="13558" max="13786" width="8.7109375" style="220" customWidth="1"/>
    <col min="13787" max="13787" width="7.28515625" style="220" customWidth="1"/>
    <col min="13788" max="13788" width="18.28515625" style="220" customWidth="1"/>
    <col min="13789" max="13789" width="23.42578125" style="220" bestFit="1" customWidth="1"/>
    <col min="13790" max="13791" width="10.140625" style="220" bestFit="1" customWidth="1"/>
    <col min="13792" max="13794" width="10.140625" style="220" customWidth="1"/>
    <col min="13795" max="13795" width="16.28515625" style="220" customWidth="1"/>
    <col min="13796" max="13796" width="20.28515625" style="220" bestFit="1" customWidth="1"/>
    <col min="13797" max="13799" width="20.28515625" style="220" customWidth="1"/>
    <col min="13800" max="13800" width="20.28515625" style="220" bestFit="1" customWidth="1"/>
    <col min="13801" max="13801" width="15.42578125" style="220" customWidth="1"/>
    <col min="13802" max="13802" width="20.28515625" style="220" bestFit="1" customWidth="1"/>
    <col min="13803" max="13805" width="20.28515625" style="220" customWidth="1"/>
    <col min="13806" max="13806" width="20.28515625" style="220" bestFit="1" customWidth="1"/>
    <col min="13807" max="13807" width="15.42578125" style="220" customWidth="1"/>
    <col min="13808" max="13808" width="20.7109375" style="220" bestFit="1" customWidth="1"/>
    <col min="13809" max="13811" width="20.7109375" style="220" customWidth="1"/>
    <col min="13812" max="13812" width="20.7109375" style="220" bestFit="1" customWidth="1"/>
    <col min="13813" max="13813" width="12.140625" style="220" customWidth="1"/>
    <col min="13814" max="14042" width="8.7109375" style="220" customWidth="1"/>
    <col min="14043" max="14043" width="7.28515625" style="220" customWidth="1"/>
    <col min="14044" max="14044" width="18.28515625" style="220" customWidth="1"/>
    <col min="14045" max="14045" width="23.42578125" style="220" bestFit="1" customWidth="1"/>
    <col min="14046" max="14047" width="10.140625" style="220" bestFit="1" customWidth="1"/>
    <col min="14048" max="14050" width="10.140625" style="220" customWidth="1"/>
    <col min="14051" max="14051" width="16.28515625" style="220" customWidth="1"/>
    <col min="14052" max="14052" width="20.28515625" style="220" bestFit="1" customWidth="1"/>
    <col min="14053" max="14055" width="20.28515625" style="220" customWidth="1"/>
    <col min="14056" max="14056" width="20.28515625" style="220" bestFit="1" customWidth="1"/>
    <col min="14057" max="14057" width="15.42578125" style="220" customWidth="1"/>
    <col min="14058" max="14058" width="20.28515625" style="220" bestFit="1" customWidth="1"/>
    <col min="14059" max="14061" width="20.28515625" style="220" customWidth="1"/>
    <col min="14062" max="14062" width="20.28515625" style="220" bestFit="1" customWidth="1"/>
    <col min="14063" max="14063" width="15.42578125" style="220" customWidth="1"/>
    <col min="14064" max="14064" width="20.7109375" style="220" bestFit="1" customWidth="1"/>
    <col min="14065" max="14067" width="20.7109375" style="220" customWidth="1"/>
    <col min="14068" max="14068" width="20.7109375" style="220" bestFit="1" customWidth="1"/>
    <col min="14069" max="14069" width="12.140625" style="220" customWidth="1"/>
    <col min="14070" max="14298" width="8.7109375" style="220" customWidth="1"/>
    <col min="14299" max="14299" width="7.28515625" style="220" customWidth="1"/>
    <col min="14300" max="14300" width="18.28515625" style="220" customWidth="1"/>
    <col min="14301" max="14301" width="23.42578125" style="220" bestFit="1" customWidth="1"/>
    <col min="14302" max="14303" width="10.140625" style="220" bestFit="1" customWidth="1"/>
    <col min="14304" max="14306" width="10.140625" style="220" customWidth="1"/>
    <col min="14307" max="14307" width="16.28515625" style="220" customWidth="1"/>
    <col min="14308" max="14308" width="20.28515625" style="220" bestFit="1" customWidth="1"/>
    <col min="14309" max="14311" width="20.28515625" style="220" customWidth="1"/>
    <col min="14312" max="14312" width="20.28515625" style="220" bestFit="1" customWidth="1"/>
    <col min="14313" max="14313" width="15.42578125" style="220" customWidth="1"/>
    <col min="14314" max="14314" width="20.28515625" style="220" bestFit="1" customWidth="1"/>
    <col min="14315" max="14317" width="20.28515625" style="220" customWidth="1"/>
    <col min="14318" max="14318" width="20.28515625" style="220" bestFit="1" customWidth="1"/>
    <col min="14319" max="14319" width="15.42578125" style="220" customWidth="1"/>
    <col min="14320" max="14320" width="20.7109375" style="220" bestFit="1" customWidth="1"/>
    <col min="14321" max="14323" width="20.7109375" style="220" customWidth="1"/>
    <col min="14324" max="14324" width="20.7109375" style="220" bestFit="1" customWidth="1"/>
    <col min="14325" max="14325" width="12.140625" style="220" customWidth="1"/>
    <col min="14326" max="14554" width="8.7109375" style="220" customWidth="1"/>
    <col min="14555" max="14555" width="7.28515625" style="220" customWidth="1"/>
    <col min="14556" max="14556" width="18.28515625" style="220" customWidth="1"/>
    <col min="14557" max="14557" width="23.42578125" style="220" bestFit="1" customWidth="1"/>
    <col min="14558" max="14559" width="10.140625" style="220" bestFit="1" customWidth="1"/>
    <col min="14560" max="14562" width="10.140625" style="220" customWidth="1"/>
    <col min="14563" max="14563" width="16.28515625" style="220" customWidth="1"/>
    <col min="14564" max="14564" width="20.28515625" style="220" bestFit="1" customWidth="1"/>
    <col min="14565" max="14567" width="20.28515625" style="220" customWidth="1"/>
    <col min="14568" max="14568" width="20.28515625" style="220" bestFit="1" customWidth="1"/>
    <col min="14569" max="14569" width="15.42578125" style="220" customWidth="1"/>
    <col min="14570" max="14570" width="20.28515625" style="220" bestFit="1" customWidth="1"/>
    <col min="14571" max="14573" width="20.28515625" style="220" customWidth="1"/>
    <col min="14574" max="14574" width="20.28515625" style="220" bestFit="1" customWidth="1"/>
    <col min="14575" max="14575" width="15.42578125" style="220" customWidth="1"/>
    <col min="14576" max="14576" width="20.7109375" style="220" bestFit="1" customWidth="1"/>
    <col min="14577" max="14579" width="20.7109375" style="220" customWidth="1"/>
    <col min="14580" max="14580" width="20.7109375" style="220" bestFit="1" customWidth="1"/>
    <col min="14581" max="14581" width="12.140625" style="220" customWidth="1"/>
    <col min="14582" max="14810" width="8.7109375" style="220" customWidth="1"/>
    <col min="14811" max="14811" width="7.28515625" style="220" customWidth="1"/>
    <col min="14812" max="14812" width="18.28515625" style="220" customWidth="1"/>
    <col min="14813" max="14813" width="23.42578125" style="220" bestFit="1" customWidth="1"/>
    <col min="14814" max="14815" width="10.140625" style="220" bestFit="1" customWidth="1"/>
    <col min="14816" max="14818" width="10.140625" style="220" customWidth="1"/>
    <col min="14819" max="14819" width="16.28515625" style="220" customWidth="1"/>
    <col min="14820" max="14820" width="20.28515625" style="220" bestFit="1" customWidth="1"/>
    <col min="14821" max="14823" width="20.28515625" style="220" customWidth="1"/>
    <col min="14824" max="14824" width="20.28515625" style="220" bestFit="1" customWidth="1"/>
    <col min="14825" max="14825" width="15.42578125" style="220" customWidth="1"/>
    <col min="14826" max="14826" width="20.28515625" style="220" bestFit="1" customWidth="1"/>
    <col min="14827" max="14829" width="20.28515625" style="220" customWidth="1"/>
    <col min="14830" max="14830" width="20.28515625" style="220" bestFit="1" customWidth="1"/>
    <col min="14831" max="14831" width="15.42578125" style="220" customWidth="1"/>
    <col min="14832" max="14832" width="20.7109375" style="220" bestFit="1" customWidth="1"/>
    <col min="14833" max="14835" width="20.7109375" style="220" customWidth="1"/>
    <col min="14836" max="14836" width="20.7109375" style="220" bestFit="1" customWidth="1"/>
    <col min="14837" max="14837" width="12.140625" style="220" customWidth="1"/>
    <col min="14838" max="15066" width="8.7109375" style="220" customWidth="1"/>
    <col min="15067" max="15067" width="7.28515625" style="220" customWidth="1"/>
    <col min="15068" max="15068" width="18.28515625" style="220" customWidth="1"/>
    <col min="15069" max="15069" width="23.42578125" style="220" bestFit="1" customWidth="1"/>
    <col min="15070" max="15071" width="10.140625" style="220" bestFit="1" customWidth="1"/>
    <col min="15072" max="15074" width="10.140625" style="220" customWidth="1"/>
    <col min="15075" max="15075" width="16.28515625" style="220" customWidth="1"/>
    <col min="15076" max="15076" width="20.28515625" style="220" bestFit="1" customWidth="1"/>
    <col min="15077" max="15079" width="20.28515625" style="220" customWidth="1"/>
    <col min="15080" max="15080" width="20.28515625" style="220" bestFit="1" customWidth="1"/>
    <col min="15081" max="15081" width="15.42578125" style="220" customWidth="1"/>
    <col min="15082" max="15082" width="20.28515625" style="220" bestFit="1" customWidth="1"/>
    <col min="15083" max="15085" width="20.28515625" style="220" customWidth="1"/>
    <col min="15086" max="15086" width="20.28515625" style="220" bestFit="1" customWidth="1"/>
    <col min="15087" max="15087" width="15.42578125" style="220" customWidth="1"/>
    <col min="15088" max="15088" width="20.7109375" style="220" bestFit="1" customWidth="1"/>
    <col min="15089" max="15091" width="20.7109375" style="220" customWidth="1"/>
    <col min="15092" max="15092" width="20.7109375" style="220" bestFit="1" customWidth="1"/>
    <col min="15093" max="15093" width="12.140625" style="220" customWidth="1"/>
    <col min="15094" max="15322" width="8.7109375" style="220" customWidth="1"/>
    <col min="15323" max="15323" width="7.28515625" style="220" customWidth="1"/>
    <col min="15324" max="15324" width="18.28515625" style="220" customWidth="1"/>
    <col min="15325" max="15325" width="23.42578125" style="220" bestFit="1" customWidth="1"/>
    <col min="15326" max="15327" width="10.140625" style="220" bestFit="1" customWidth="1"/>
    <col min="15328" max="15330" width="10.140625" style="220" customWidth="1"/>
    <col min="15331" max="15331" width="16.28515625" style="220" customWidth="1"/>
    <col min="15332" max="15332" width="20.28515625" style="220" bestFit="1" customWidth="1"/>
    <col min="15333" max="15335" width="20.28515625" style="220" customWidth="1"/>
    <col min="15336" max="15336" width="20.28515625" style="220" bestFit="1" customWidth="1"/>
    <col min="15337" max="15337" width="15.42578125" style="220" customWidth="1"/>
    <col min="15338" max="15338" width="20.28515625" style="220" bestFit="1" customWidth="1"/>
    <col min="15339" max="15341" width="20.28515625" style="220" customWidth="1"/>
    <col min="15342" max="15342" width="20.28515625" style="220" bestFit="1" customWidth="1"/>
    <col min="15343" max="15343" width="15.42578125" style="220" customWidth="1"/>
    <col min="15344" max="15344" width="20.7109375" style="220" bestFit="1" customWidth="1"/>
    <col min="15345" max="15347" width="20.7109375" style="220" customWidth="1"/>
    <col min="15348" max="15348" width="20.7109375" style="220" bestFit="1" customWidth="1"/>
    <col min="15349" max="15349" width="12.140625" style="220" customWidth="1"/>
    <col min="15350" max="15578" width="8.7109375" style="220" customWidth="1"/>
    <col min="15579" max="15579" width="7.28515625" style="220" customWidth="1"/>
    <col min="15580" max="15580" width="18.28515625" style="220" customWidth="1"/>
    <col min="15581" max="15581" width="23.42578125" style="220" bestFit="1" customWidth="1"/>
    <col min="15582" max="15583" width="10.140625" style="220" bestFit="1" customWidth="1"/>
    <col min="15584" max="15586" width="10.140625" style="220" customWidth="1"/>
    <col min="15587" max="15587" width="16.28515625" style="220" customWidth="1"/>
    <col min="15588" max="15588" width="20.28515625" style="220" bestFit="1" customWidth="1"/>
    <col min="15589" max="15591" width="20.28515625" style="220" customWidth="1"/>
    <col min="15592" max="15592" width="20.28515625" style="220" bestFit="1" customWidth="1"/>
    <col min="15593" max="15593" width="15.42578125" style="220" customWidth="1"/>
    <col min="15594" max="15594" width="20.28515625" style="220" bestFit="1" customWidth="1"/>
    <col min="15595" max="15597" width="20.28515625" style="220" customWidth="1"/>
    <col min="15598" max="15598" width="20.28515625" style="220" bestFit="1" customWidth="1"/>
    <col min="15599" max="15599" width="15.42578125" style="220" customWidth="1"/>
    <col min="15600" max="15600" width="20.7109375" style="220" bestFit="1" customWidth="1"/>
    <col min="15601" max="15603" width="20.7109375" style="220" customWidth="1"/>
    <col min="15604" max="15604" width="20.7109375" style="220" bestFit="1" customWidth="1"/>
    <col min="15605" max="15605" width="12.140625" style="220" customWidth="1"/>
    <col min="15606" max="15834" width="8.7109375" style="220" customWidth="1"/>
    <col min="15835" max="15835" width="7.28515625" style="220" customWidth="1"/>
    <col min="15836" max="15836" width="18.28515625" style="220" customWidth="1"/>
    <col min="15837" max="15837" width="23.42578125" style="220" bestFit="1" customWidth="1"/>
    <col min="15838" max="15839" width="10.140625" style="220" bestFit="1" customWidth="1"/>
    <col min="15840" max="15842" width="10.140625" style="220" customWidth="1"/>
    <col min="15843" max="15843" width="16.28515625" style="220" customWidth="1"/>
    <col min="15844" max="15844" width="20.28515625" style="220" bestFit="1" customWidth="1"/>
    <col min="15845" max="15847" width="20.28515625" style="220" customWidth="1"/>
    <col min="15848" max="15848" width="20.28515625" style="220" bestFit="1" customWidth="1"/>
    <col min="15849" max="15849" width="15.42578125" style="220" customWidth="1"/>
    <col min="15850" max="15850" width="20.28515625" style="220" bestFit="1" customWidth="1"/>
    <col min="15851" max="15853" width="20.28515625" style="220" customWidth="1"/>
    <col min="15854" max="15854" width="20.28515625" style="220" bestFit="1" customWidth="1"/>
    <col min="15855" max="15855" width="15.42578125" style="220" customWidth="1"/>
    <col min="15856" max="15856" width="20.7109375" style="220" bestFit="1" customWidth="1"/>
    <col min="15857" max="15859" width="20.7109375" style="220" customWidth="1"/>
    <col min="15860" max="15860" width="20.7109375" style="220" bestFit="1" customWidth="1"/>
    <col min="15861" max="15861" width="12.140625" style="220" customWidth="1"/>
    <col min="15862" max="16090" width="8.7109375" style="220" customWidth="1"/>
    <col min="16091" max="16091" width="7.28515625" style="220" customWidth="1"/>
    <col min="16092" max="16092" width="18.28515625" style="220" customWidth="1"/>
    <col min="16093" max="16093" width="23.42578125" style="220" bestFit="1" customWidth="1"/>
    <col min="16094" max="16095" width="10.140625" style="220" bestFit="1" customWidth="1"/>
    <col min="16096" max="16098" width="10.140625" style="220" customWidth="1"/>
    <col min="16099" max="16099" width="16.28515625" style="220" customWidth="1"/>
    <col min="16100" max="16100" width="20.28515625" style="220" bestFit="1" customWidth="1"/>
    <col min="16101" max="16103" width="20.28515625" style="220" customWidth="1"/>
    <col min="16104" max="16104" width="20.28515625" style="220" bestFit="1" customWidth="1"/>
    <col min="16105" max="16105" width="15.42578125" style="220" customWidth="1"/>
    <col min="16106" max="16106" width="20.28515625" style="220" bestFit="1" customWidth="1"/>
    <col min="16107" max="16109" width="20.28515625" style="220" customWidth="1"/>
    <col min="16110" max="16110" width="20.28515625" style="220" bestFit="1" customWidth="1"/>
    <col min="16111" max="16111" width="15.42578125" style="220" customWidth="1"/>
    <col min="16112" max="16112" width="20.7109375" style="220" bestFit="1" customWidth="1"/>
    <col min="16113" max="16115" width="20.7109375" style="220" customWidth="1"/>
    <col min="16116" max="16116" width="20.7109375" style="220" bestFit="1" customWidth="1"/>
    <col min="16117" max="16117" width="12.140625" style="220" customWidth="1"/>
    <col min="16118" max="16384" width="8.7109375" style="220" customWidth="1"/>
  </cols>
  <sheetData>
    <row r="1" spans="1:17" s="194" customFormat="1"/>
    <row r="2" spans="1:17" s="194" customFormat="1" ht="13.5" thickBot="1"/>
    <row r="3" spans="1:17" s="194" customFormat="1" ht="13.5" thickBot="1">
      <c r="A3" s="338" t="s">
        <v>115</v>
      </c>
      <c r="B3" s="340" t="s">
        <v>314</v>
      </c>
      <c r="C3" s="342" t="s">
        <v>178</v>
      </c>
      <c r="D3" s="388" t="s">
        <v>343</v>
      </c>
      <c r="E3" s="389"/>
      <c r="F3" s="390"/>
      <c r="G3" s="391" t="s">
        <v>344</v>
      </c>
      <c r="H3" s="385"/>
      <c r="I3" s="385"/>
      <c r="J3" s="385"/>
      <c r="K3" s="391" t="s">
        <v>345</v>
      </c>
      <c r="L3" s="385"/>
      <c r="M3" s="386"/>
      <c r="N3" s="333" t="s">
        <v>346</v>
      </c>
      <c r="O3" s="333"/>
      <c r="P3" s="333"/>
      <c r="Q3" s="334"/>
    </row>
    <row r="4" spans="1:17" s="194" customFormat="1" ht="13.5" thickBot="1">
      <c r="A4" s="339"/>
      <c r="B4" s="341"/>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272</v>
      </c>
      <c r="C5" s="200"/>
      <c r="D5" s="201"/>
      <c r="E5" s="202"/>
      <c r="F5" s="202"/>
      <c r="G5" s="202"/>
      <c r="H5" s="203"/>
      <c r="I5" s="204"/>
      <c r="J5" s="200"/>
      <c r="K5" s="205"/>
      <c r="L5" s="206"/>
      <c r="M5" s="206"/>
      <c r="N5" s="206"/>
      <c r="O5" s="206"/>
      <c r="P5" s="206"/>
      <c r="Q5" s="206"/>
    </row>
    <row r="6" spans="1:17" s="219" customFormat="1">
      <c r="A6" s="269"/>
      <c r="B6" s="244" t="s">
        <v>273</v>
      </c>
      <c r="C6" s="270"/>
      <c r="D6" s="271"/>
      <c r="E6" s="272"/>
      <c r="F6" s="272"/>
      <c r="G6" s="272"/>
      <c r="H6" s="273"/>
      <c r="I6" s="274"/>
      <c r="J6" s="270"/>
      <c r="K6" s="275"/>
      <c r="L6" s="276"/>
      <c r="M6" s="276"/>
      <c r="N6" s="276"/>
      <c r="O6" s="276"/>
      <c r="P6" s="276"/>
      <c r="Q6" s="276"/>
    </row>
    <row r="7" spans="1:17" s="194" customFormat="1">
      <c r="A7" s="198">
        <v>2</v>
      </c>
      <c r="B7" s="199" t="s">
        <v>274</v>
      </c>
      <c r="C7" s="200"/>
      <c r="D7" s="201"/>
      <c r="E7" s="202"/>
      <c r="F7" s="202"/>
      <c r="G7" s="202"/>
      <c r="H7" s="203"/>
      <c r="I7" s="204"/>
      <c r="J7" s="200"/>
      <c r="K7" s="205"/>
      <c r="L7" s="206"/>
      <c r="M7" s="206"/>
      <c r="N7" s="206"/>
      <c r="O7" s="206"/>
      <c r="P7" s="206"/>
      <c r="Q7" s="206"/>
    </row>
    <row r="8" spans="1:17" s="194" customFormat="1">
      <c r="A8" s="198">
        <v>3</v>
      </c>
      <c r="B8" s="199" t="s">
        <v>275</v>
      </c>
      <c r="C8" s="200"/>
      <c r="D8" s="201"/>
      <c r="E8" s="202"/>
      <c r="F8" s="202"/>
      <c r="G8" s="202"/>
      <c r="H8" s="203"/>
      <c r="I8" s="204"/>
      <c r="J8" s="200"/>
      <c r="K8" s="205"/>
      <c r="L8" s="206"/>
      <c r="M8" s="206"/>
      <c r="N8" s="206"/>
      <c r="O8" s="206"/>
      <c r="P8" s="206"/>
      <c r="Q8" s="206"/>
    </row>
    <row r="9" spans="1:17" s="194" customFormat="1">
      <c r="A9" s="207">
        <v>5</v>
      </c>
      <c r="B9" s="199" t="s">
        <v>276</v>
      </c>
      <c r="C9" s="200"/>
      <c r="D9" s="201"/>
      <c r="E9" s="202"/>
      <c r="F9" s="202"/>
      <c r="G9" s="202"/>
      <c r="H9" s="203"/>
      <c r="I9" s="204"/>
      <c r="J9" s="200"/>
      <c r="K9" s="205"/>
      <c r="L9" s="206"/>
      <c r="M9" s="206"/>
      <c r="N9" s="206"/>
      <c r="O9" s="206"/>
      <c r="P9" s="206"/>
      <c r="Q9" s="206"/>
    </row>
    <row r="10" spans="1:17" s="194" customFormat="1">
      <c r="A10" s="198">
        <v>6</v>
      </c>
      <c r="B10" s="199" t="s">
        <v>277</v>
      </c>
      <c r="C10" s="200"/>
      <c r="D10" s="201"/>
      <c r="E10" s="202"/>
      <c r="F10" s="202"/>
      <c r="G10" s="202"/>
      <c r="H10" s="203"/>
      <c r="I10" s="204"/>
      <c r="J10" s="200"/>
      <c r="K10" s="205"/>
      <c r="L10" s="206"/>
      <c r="M10" s="206"/>
      <c r="N10" s="206"/>
      <c r="O10" s="206"/>
      <c r="P10" s="206"/>
      <c r="Q10" s="206"/>
    </row>
    <row r="11" spans="1:17" s="219" customFormat="1">
      <c r="A11" s="269"/>
      <c r="B11" s="244" t="s">
        <v>278</v>
      </c>
      <c r="C11" s="270"/>
      <c r="D11" s="271"/>
      <c r="E11" s="272"/>
      <c r="F11" s="272"/>
      <c r="G11" s="272"/>
      <c r="H11" s="273"/>
      <c r="I11" s="274"/>
      <c r="J11" s="270"/>
      <c r="K11" s="275"/>
      <c r="L11" s="276"/>
      <c r="M11" s="276"/>
      <c r="N11" s="276"/>
      <c r="O11" s="276"/>
      <c r="P11" s="276"/>
      <c r="Q11" s="276"/>
    </row>
    <row r="12" spans="1:17" s="194" customFormat="1">
      <c r="A12" s="207">
        <v>7</v>
      </c>
      <c r="B12" s="210" t="s">
        <v>279</v>
      </c>
      <c r="C12" s="208"/>
      <c r="D12" s="201"/>
      <c r="E12" s="202"/>
      <c r="F12" s="202"/>
      <c r="G12" s="202"/>
      <c r="H12" s="203"/>
      <c r="I12" s="204"/>
      <c r="J12" s="200"/>
      <c r="K12" s="205"/>
      <c r="L12" s="206"/>
      <c r="M12" s="206"/>
      <c r="N12" s="206"/>
      <c r="O12" s="206"/>
      <c r="P12" s="206"/>
      <c r="Q12" s="206"/>
    </row>
    <row r="13" spans="1:17" s="194" customFormat="1">
      <c r="A13" s="207">
        <v>8</v>
      </c>
      <c r="B13" s="199" t="s">
        <v>280</v>
      </c>
      <c r="C13" s="208"/>
      <c r="D13" s="201"/>
      <c r="E13" s="202"/>
      <c r="F13" s="202"/>
      <c r="G13" s="202"/>
      <c r="H13" s="203"/>
      <c r="I13" s="204"/>
      <c r="J13" s="200"/>
      <c r="K13" s="205"/>
      <c r="L13" s="206"/>
      <c r="M13" s="206"/>
      <c r="N13" s="206"/>
      <c r="O13" s="206"/>
      <c r="P13" s="206"/>
      <c r="Q13" s="206"/>
    </row>
    <row r="14" spans="1:17" s="219" customFormat="1">
      <c r="A14" s="269"/>
      <c r="B14" s="244" t="s">
        <v>281</v>
      </c>
      <c r="C14" s="270"/>
      <c r="D14" s="271"/>
      <c r="E14" s="272"/>
      <c r="F14" s="272"/>
      <c r="G14" s="272"/>
      <c r="H14" s="273"/>
      <c r="I14" s="274"/>
      <c r="J14" s="270"/>
      <c r="K14" s="275"/>
      <c r="L14" s="276"/>
      <c r="M14" s="276"/>
      <c r="N14" s="276"/>
      <c r="O14" s="276"/>
      <c r="P14" s="276"/>
      <c r="Q14" s="276"/>
    </row>
    <row r="15" spans="1:17" s="194" customFormat="1">
      <c r="A15" s="207">
        <v>9</v>
      </c>
      <c r="B15" s="199" t="s">
        <v>282</v>
      </c>
      <c r="C15" s="208"/>
      <c r="D15" s="201"/>
      <c r="E15" s="202"/>
      <c r="F15" s="202"/>
      <c r="G15" s="202"/>
      <c r="H15" s="203"/>
      <c r="I15" s="204"/>
      <c r="J15" s="200"/>
      <c r="K15" s="205"/>
      <c r="L15" s="206"/>
      <c r="M15" s="206"/>
      <c r="N15" s="206"/>
      <c r="O15" s="206"/>
      <c r="P15" s="206"/>
      <c r="Q15" s="206"/>
    </row>
    <row r="16" spans="1:17" s="194" customFormat="1">
      <c r="A16" s="207">
        <v>10</v>
      </c>
      <c r="B16" s="199" t="s">
        <v>288</v>
      </c>
      <c r="C16" s="208"/>
      <c r="D16" s="201"/>
      <c r="E16" s="202"/>
      <c r="F16" s="202"/>
      <c r="G16" s="202"/>
      <c r="H16" s="203"/>
      <c r="I16" s="204"/>
      <c r="J16" s="200"/>
      <c r="K16" s="205"/>
      <c r="L16" s="206"/>
      <c r="M16" s="206"/>
      <c r="N16" s="206"/>
      <c r="O16" s="206"/>
      <c r="P16" s="206"/>
      <c r="Q16" s="206"/>
    </row>
    <row r="17" spans="1:17" s="194" customFormat="1">
      <c r="A17" s="207">
        <v>13</v>
      </c>
      <c r="B17" s="199" t="s">
        <v>283</v>
      </c>
      <c r="C17" s="208"/>
      <c r="D17" s="201"/>
      <c r="E17" s="202"/>
      <c r="F17" s="202"/>
      <c r="G17" s="202"/>
      <c r="H17" s="203"/>
      <c r="I17" s="204"/>
      <c r="J17" s="200"/>
      <c r="K17" s="205"/>
      <c r="L17" s="206"/>
      <c r="M17" s="206"/>
      <c r="N17" s="206"/>
      <c r="O17" s="206"/>
      <c r="P17" s="206"/>
      <c r="Q17" s="206"/>
    </row>
    <row r="18" spans="1:17" s="194" customFormat="1">
      <c r="A18" s="207">
        <v>14</v>
      </c>
      <c r="B18" s="199" t="s">
        <v>284</v>
      </c>
      <c r="C18" s="208"/>
      <c r="D18" s="201"/>
      <c r="E18" s="202"/>
      <c r="F18" s="202"/>
      <c r="G18" s="202"/>
      <c r="H18" s="203"/>
      <c r="I18" s="204"/>
      <c r="J18" s="200"/>
      <c r="K18" s="205"/>
      <c r="L18" s="206"/>
      <c r="M18" s="206"/>
      <c r="N18" s="206"/>
      <c r="O18" s="206"/>
      <c r="P18" s="206"/>
      <c r="Q18" s="206"/>
    </row>
    <row r="19" spans="1:17" s="194" customFormat="1">
      <c r="A19" s="207">
        <v>15</v>
      </c>
      <c r="B19" s="199" t="s">
        <v>285</v>
      </c>
      <c r="C19" s="208"/>
      <c r="D19" s="201"/>
      <c r="E19" s="202"/>
      <c r="F19" s="202"/>
      <c r="G19" s="202"/>
      <c r="H19" s="203"/>
      <c r="I19" s="204"/>
      <c r="J19" s="200"/>
      <c r="K19" s="205"/>
      <c r="L19" s="206"/>
      <c r="M19" s="206"/>
      <c r="N19" s="206"/>
      <c r="O19" s="206"/>
      <c r="P19" s="206"/>
      <c r="Q19" s="206"/>
    </row>
    <row r="20" spans="1:17" s="194" customFormat="1">
      <c r="A20" s="207">
        <v>16</v>
      </c>
      <c r="B20" s="199" t="s">
        <v>286</v>
      </c>
      <c r="C20" s="208"/>
      <c r="D20" s="201"/>
      <c r="E20" s="202"/>
      <c r="F20" s="202"/>
      <c r="G20" s="202"/>
      <c r="H20" s="203"/>
      <c r="I20" s="204"/>
      <c r="J20" s="200"/>
      <c r="K20" s="205"/>
      <c r="L20" s="206"/>
      <c r="M20" s="206"/>
      <c r="N20" s="206"/>
      <c r="O20" s="206"/>
      <c r="P20" s="206"/>
      <c r="Q20" s="206"/>
    </row>
    <row r="21" spans="1:17" s="194" customFormat="1">
      <c r="A21" s="207">
        <v>17</v>
      </c>
      <c r="B21" s="199" t="s">
        <v>287</v>
      </c>
      <c r="C21" s="208"/>
      <c r="D21" s="201"/>
      <c r="E21" s="202"/>
      <c r="F21" s="202"/>
      <c r="G21" s="202"/>
      <c r="H21" s="203"/>
      <c r="I21" s="204"/>
      <c r="J21" s="200"/>
      <c r="K21" s="205"/>
      <c r="L21" s="206"/>
      <c r="M21" s="206"/>
      <c r="N21" s="206"/>
      <c r="O21" s="206"/>
      <c r="P21" s="206"/>
      <c r="Q21" s="206"/>
    </row>
    <row r="22" spans="1:17" s="194" customFormat="1">
      <c r="A22" s="207">
        <v>18</v>
      </c>
      <c r="B22" s="199" t="s">
        <v>289</v>
      </c>
      <c r="C22" s="208"/>
      <c r="D22" s="201"/>
      <c r="E22" s="202"/>
      <c r="F22" s="202"/>
      <c r="G22" s="202"/>
      <c r="H22" s="203"/>
      <c r="I22" s="204"/>
      <c r="J22" s="200"/>
      <c r="K22" s="205"/>
      <c r="L22" s="206"/>
      <c r="M22" s="206"/>
      <c r="N22" s="206"/>
      <c r="O22" s="206"/>
      <c r="P22" s="206"/>
      <c r="Q22" s="206"/>
    </row>
    <row r="23" spans="1:17" s="219" customFormat="1">
      <c r="A23" s="269"/>
      <c r="B23" s="244" t="s">
        <v>290</v>
      </c>
      <c r="C23" s="270"/>
      <c r="D23" s="271"/>
      <c r="E23" s="272"/>
      <c r="F23" s="272"/>
      <c r="G23" s="272"/>
      <c r="H23" s="273"/>
      <c r="I23" s="274"/>
      <c r="J23" s="270"/>
      <c r="K23" s="275"/>
      <c r="L23" s="276"/>
      <c r="M23" s="276"/>
      <c r="N23" s="276"/>
      <c r="O23" s="276"/>
      <c r="P23" s="276"/>
      <c r="Q23" s="276"/>
    </row>
    <row r="24" spans="1:17" s="284" customFormat="1">
      <c r="A24" s="285">
        <v>19</v>
      </c>
      <c r="B24" s="286" t="s">
        <v>291</v>
      </c>
      <c r="C24" s="277"/>
      <c r="D24" s="278"/>
      <c r="E24" s="279"/>
      <c r="F24" s="279"/>
      <c r="G24" s="279"/>
      <c r="H24" s="280"/>
      <c r="I24" s="281"/>
      <c r="J24" s="277"/>
      <c r="K24" s="282"/>
      <c r="L24" s="283"/>
      <c r="M24" s="283"/>
      <c r="N24" s="283"/>
      <c r="O24" s="283"/>
      <c r="P24" s="283"/>
      <c r="Q24" s="283"/>
    </row>
    <row r="25" spans="1:17" s="284" customFormat="1">
      <c r="A25" s="285">
        <v>20</v>
      </c>
      <c r="B25" s="286" t="s">
        <v>292</v>
      </c>
      <c r="C25" s="277"/>
      <c r="D25" s="278"/>
      <c r="E25" s="279"/>
      <c r="F25" s="279"/>
      <c r="G25" s="279"/>
      <c r="H25" s="280"/>
      <c r="I25" s="281"/>
      <c r="J25" s="277"/>
      <c r="K25" s="282"/>
      <c r="L25" s="283"/>
      <c r="M25" s="283"/>
      <c r="N25" s="283"/>
      <c r="O25" s="283"/>
      <c r="P25" s="283"/>
      <c r="Q25" s="283"/>
    </row>
    <row r="26" spans="1:17" s="284" customFormat="1">
      <c r="A26" s="285">
        <v>21</v>
      </c>
      <c r="B26" s="286" t="s">
        <v>293</v>
      </c>
      <c r="C26" s="277"/>
      <c r="D26" s="278"/>
      <c r="E26" s="279"/>
      <c r="F26" s="279"/>
      <c r="G26" s="279"/>
      <c r="H26" s="280"/>
      <c r="I26" s="281"/>
      <c r="J26" s="277"/>
      <c r="K26" s="282"/>
      <c r="L26" s="283"/>
      <c r="M26" s="283"/>
      <c r="N26" s="283"/>
      <c r="O26" s="283"/>
      <c r="P26" s="283"/>
      <c r="Q26" s="283"/>
    </row>
    <row r="27" spans="1:17" s="284" customFormat="1">
      <c r="A27" s="285">
        <v>22</v>
      </c>
      <c r="B27" s="286" t="s">
        <v>294</v>
      </c>
      <c r="C27" s="277"/>
      <c r="D27" s="278"/>
      <c r="E27" s="279"/>
      <c r="F27" s="279"/>
      <c r="G27" s="279"/>
      <c r="H27" s="280"/>
      <c r="I27" s="281"/>
      <c r="J27" s="277"/>
      <c r="K27" s="282"/>
      <c r="L27" s="283"/>
      <c r="M27" s="283"/>
      <c r="N27" s="283"/>
      <c r="O27" s="283"/>
      <c r="P27" s="283"/>
      <c r="Q27" s="283"/>
    </row>
    <row r="28" spans="1:17" s="194" customFormat="1">
      <c r="A28" s="285">
        <v>23</v>
      </c>
      <c r="B28" s="199" t="s">
        <v>295</v>
      </c>
      <c r="C28" s="208"/>
      <c r="D28" s="201"/>
      <c r="E28" s="202"/>
      <c r="F28" s="202"/>
      <c r="G28" s="202"/>
      <c r="H28" s="203"/>
      <c r="I28" s="204"/>
      <c r="J28" s="200"/>
      <c r="K28" s="205"/>
      <c r="L28" s="206"/>
      <c r="M28" s="206"/>
      <c r="N28" s="206"/>
      <c r="O28" s="206"/>
      <c r="P28" s="206"/>
      <c r="Q28" s="206"/>
    </row>
    <row r="29" spans="1:17" s="194" customFormat="1">
      <c r="A29" s="285">
        <v>24</v>
      </c>
      <c r="B29" s="199" t="s">
        <v>296</v>
      </c>
      <c r="C29" s="208"/>
      <c r="D29" s="201"/>
      <c r="E29" s="202"/>
      <c r="F29" s="202"/>
      <c r="G29" s="202"/>
      <c r="H29" s="203"/>
      <c r="I29" s="204"/>
      <c r="J29" s="200"/>
      <c r="K29" s="205"/>
      <c r="L29" s="206"/>
      <c r="M29" s="206"/>
      <c r="N29" s="206"/>
      <c r="O29" s="206"/>
      <c r="P29" s="206"/>
      <c r="Q29" s="206"/>
    </row>
    <row r="30" spans="1:17" s="219" customFormat="1">
      <c r="A30" s="269"/>
      <c r="B30" s="244" t="s">
        <v>297</v>
      </c>
      <c r="C30" s="270"/>
      <c r="D30" s="271"/>
      <c r="E30" s="272"/>
      <c r="F30" s="272"/>
      <c r="G30" s="272"/>
      <c r="H30" s="273"/>
      <c r="I30" s="274"/>
      <c r="J30" s="270"/>
      <c r="K30" s="275"/>
      <c r="L30" s="276"/>
      <c r="M30" s="276"/>
      <c r="N30" s="276"/>
      <c r="O30" s="276"/>
      <c r="P30" s="276"/>
      <c r="Q30" s="276"/>
    </row>
    <row r="31" spans="1:17" s="219" customFormat="1" ht="13.5" thickBot="1">
      <c r="A31" s="344" t="s">
        <v>5</v>
      </c>
      <c r="B31" s="345"/>
      <c r="C31" s="346"/>
      <c r="D31" s="261"/>
      <c r="E31" s="262"/>
      <c r="F31" s="262"/>
      <c r="G31" s="262"/>
      <c r="H31" s="263"/>
      <c r="I31" s="264"/>
      <c r="J31" s="265"/>
      <c r="K31" s="266"/>
      <c r="L31" s="267"/>
      <c r="M31" s="267"/>
      <c r="N31" s="267"/>
      <c r="O31" s="268"/>
      <c r="P31" s="268"/>
      <c r="Q31" s="268"/>
    </row>
  </sheetData>
  <mergeCells count="8">
    <mergeCell ref="A31:C31"/>
    <mergeCell ref="A3:A4"/>
    <mergeCell ref="B3:B4"/>
    <mergeCell ref="C3:C4"/>
    <mergeCell ref="D3:F3"/>
    <mergeCell ref="G3:J3"/>
    <mergeCell ref="K3:M3"/>
    <mergeCell ref="N3:Q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22"/>
  <sheetViews>
    <sheetView workbookViewId="0">
      <selection activeCell="B15" sqref="B15"/>
    </sheetView>
  </sheetViews>
  <sheetFormatPr defaultColWidth="11.5703125" defaultRowHeight="12.75"/>
  <cols>
    <col min="1" max="1" width="7.28515625" style="220" customWidth="1"/>
    <col min="2" max="2" width="75.7109375" style="220" bestFit="1" customWidth="1"/>
    <col min="3" max="3" width="23.5703125" style="220" customWidth="1"/>
    <col min="4" max="8" width="21.85546875" style="220" customWidth="1"/>
    <col min="9" max="17" width="26.7109375" style="220" customWidth="1"/>
    <col min="18" max="229" width="8.7109375" style="220" customWidth="1"/>
    <col min="230" max="230" width="7.28515625" style="220" customWidth="1"/>
    <col min="231" max="231" width="18.28515625" style="220" customWidth="1"/>
    <col min="232" max="232" width="23.42578125" style="220" bestFit="1" customWidth="1"/>
    <col min="233" max="234" width="10.140625" style="220" bestFit="1" customWidth="1"/>
    <col min="235" max="237" width="10.140625" style="220" customWidth="1"/>
    <col min="238" max="238" width="16.28515625" style="220" customWidth="1"/>
    <col min="239" max="239" width="20.28515625" style="220" bestFit="1" customWidth="1"/>
    <col min="240" max="242" width="20.28515625" style="220" customWidth="1"/>
    <col min="243" max="243" width="20.28515625" style="220" bestFit="1" customWidth="1"/>
    <col min="244" max="244" width="15.42578125" style="220" customWidth="1"/>
    <col min="245" max="245" width="20.28515625" style="220" bestFit="1" customWidth="1"/>
    <col min="246" max="248" width="20.28515625" style="220" customWidth="1"/>
    <col min="249" max="249" width="20.28515625" style="220" bestFit="1" customWidth="1"/>
    <col min="250" max="250" width="15.42578125" style="220" customWidth="1"/>
    <col min="251" max="251" width="20.7109375" style="220" bestFit="1" customWidth="1"/>
    <col min="252" max="254" width="20.7109375" style="220" customWidth="1"/>
    <col min="255" max="255" width="20.7109375" style="220" bestFit="1" customWidth="1"/>
    <col min="256" max="256" width="12.140625" style="220" customWidth="1"/>
    <col min="257" max="485" width="8.7109375" style="220" customWidth="1"/>
    <col min="486" max="486" width="7.28515625" style="220" customWidth="1"/>
    <col min="487" max="487" width="18.28515625" style="220" customWidth="1"/>
    <col min="488" max="488" width="23.42578125" style="220" bestFit="1" customWidth="1"/>
    <col min="489" max="490" width="10.140625" style="220" bestFit="1" customWidth="1"/>
    <col min="491" max="493" width="10.140625" style="220" customWidth="1"/>
    <col min="494" max="494" width="16.28515625" style="220" customWidth="1"/>
    <col min="495" max="495" width="20.28515625" style="220" bestFit="1" customWidth="1"/>
    <col min="496" max="498" width="20.28515625" style="220" customWidth="1"/>
    <col min="499" max="499" width="20.28515625" style="220" bestFit="1" customWidth="1"/>
    <col min="500" max="500" width="15.42578125" style="220" customWidth="1"/>
    <col min="501" max="501" width="20.28515625" style="220" bestFit="1" customWidth="1"/>
    <col min="502" max="504" width="20.28515625" style="220" customWidth="1"/>
    <col min="505" max="505" width="20.28515625" style="220" bestFit="1" customWidth="1"/>
    <col min="506" max="506" width="15.42578125" style="220" customWidth="1"/>
    <col min="507" max="507" width="20.7109375" style="220" bestFit="1" customWidth="1"/>
    <col min="508" max="510" width="20.7109375" style="220" customWidth="1"/>
    <col min="511" max="511" width="20.7109375" style="220" bestFit="1" customWidth="1"/>
    <col min="512" max="512" width="12.140625" style="220" customWidth="1"/>
    <col min="513" max="741" width="8.7109375" style="220" customWidth="1"/>
    <col min="742" max="742" width="7.28515625" style="220" customWidth="1"/>
    <col min="743" max="743" width="18.28515625" style="220" customWidth="1"/>
    <col min="744" max="744" width="23.42578125" style="220" bestFit="1" customWidth="1"/>
    <col min="745" max="746" width="10.140625" style="220" bestFit="1" customWidth="1"/>
    <col min="747" max="749" width="10.140625" style="220" customWidth="1"/>
    <col min="750" max="750" width="16.28515625" style="220" customWidth="1"/>
    <col min="751" max="751" width="20.28515625" style="220" bestFit="1" customWidth="1"/>
    <col min="752" max="754" width="20.28515625" style="220" customWidth="1"/>
    <col min="755" max="755" width="20.28515625" style="220" bestFit="1" customWidth="1"/>
    <col min="756" max="756" width="15.42578125" style="220" customWidth="1"/>
    <col min="757" max="757" width="20.28515625" style="220" bestFit="1" customWidth="1"/>
    <col min="758" max="760" width="20.28515625" style="220" customWidth="1"/>
    <col min="761" max="761" width="20.28515625" style="220" bestFit="1" customWidth="1"/>
    <col min="762" max="762" width="15.42578125" style="220" customWidth="1"/>
    <col min="763" max="763" width="20.7109375" style="220" bestFit="1" customWidth="1"/>
    <col min="764" max="766" width="20.7109375" style="220" customWidth="1"/>
    <col min="767" max="767" width="20.7109375" style="220" bestFit="1" customWidth="1"/>
    <col min="768" max="768" width="12.140625" style="220" customWidth="1"/>
    <col min="769" max="997" width="8.7109375" style="220" customWidth="1"/>
    <col min="998" max="998" width="7.28515625" style="220" customWidth="1"/>
    <col min="999" max="999" width="18.28515625" style="220" customWidth="1"/>
    <col min="1000" max="1000" width="23.42578125" style="220" bestFit="1" customWidth="1"/>
    <col min="1001" max="1002" width="10.140625" style="220" bestFit="1" customWidth="1"/>
    <col min="1003" max="1005" width="10.140625" style="220" customWidth="1"/>
    <col min="1006" max="1006" width="16.28515625" style="220" customWidth="1"/>
    <col min="1007" max="1007" width="20.28515625" style="220" bestFit="1" customWidth="1"/>
    <col min="1008" max="1010" width="20.28515625" style="220" customWidth="1"/>
    <col min="1011" max="1011" width="20.28515625" style="220" bestFit="1" customWidth="1"/>
    <col min="1012" max="1012" width="15.42578125" style="220" customWidth="1"/>
    <col min="1013" max="1013" width="20.28515625" style="220" bestFit="1" customWidth="1"/>
    <col min="1014" max="1016" width="20.28515625" style="220" customWidth="1"/>
    <col min="1017" max="1017" width="20.28515625" style="220" bestFit="1" customWidth="1"/>
    <col min="1018" max="1018" width="15.42578125" style="220" customWidth="1"/>
    <col min="1019" max="1019" width="20.7109375" style="220" bestFit="1" customWidth="1"/>
    <col min="1020" max="1022" width="20.7109375" style="220" customWidth="1"/>
    <col min="1023" max="1023" width="20.7109375" style="220" bestFit="1" customWidth="1"/>
    <col min="1024" max="1024" width="12.140625" style="220" customWidth="1"/>
    <col min="1025" max="1253" width="8.7109375" style="220" customWidth="1"/>
    <col min="1254" max="1254" width="7.28515625" style="220" customWidth="1"/>
    <col min="1255" max="1255" width="18.28515625" style="220" customWidth="1"/>
    <col min="1256" max="1256" width="23.42578125" style="220" bestFit="1" customWidth="1"/>
    <col min="1257" max="1258" width="10.140625" style="220" bestFit="1" customWidth="1"/>
    <col min="1259" max="1261" width="10.140625" style="220" customWidth="1"/>
    <col min="1262" max="1262" width="16.28515625" style="220" customWidth="1"/>
    <col min="1263" max="1263" width="20.28515625" style="220" bestFit="1" customWidth="1"/>
    <col min="1264" max="1266" width="20.28515625" style="220" customWidth="1"/>
    <col min="1267" max="1267" width="20.28515625" style="220" bestFit="1" customWidth="1"/>
    <col min="1268" max="1268" width="15.42578125" style="220" customWidth="1"/>
    <col min="1269" max="1269" width="20.28515625" style="220" bestFit="1" customWidth="1"/>
    <col min="1270" max="1272" width="20.28515625" style="220" customWidth="1"/>
    <col min="1273" max="1273" width="20.28515625" style="220" bestFit="1" customWidth="1"/>
    <col min="1274" max="1274" width="15.42578125" style="220" customWidth="1"/>
    <col min="1275" max="1275" width="20.7109375" style="220" bestFit="1" customWidth="1"/>
    <col min="1276" max="1278" width="20.7109375" style="220" customWidth="1"/>
    <col min="1279" max="1279" width="20.7109375" style="220" bestFit="1" customWidth="1"/>
    <col min="1280" max="1280" width="12.140625" style="220" customWidth="1"/>
    <col min="1281" max="1509" width="8.7109375" style="220" customWidth="1"/>
    <col min="1510" max="1510" width="7.28515625" style="220" customWidth="1"/>
    <col min="1511" max="1511" width="18.28515625" style="220" customWidth="1"/>
    <col min="1512" max="1512" width="23.42578125" style="220" bestFit="1" customWidth="1"/>
    <col min="1513" max="1514" width="10.140625" style="220" bestFit="1" customWidth="1"/>
    <col min="1515" max="1517" width="10.140625" style="220" customWidth="1"/>
    <col min="1518" max="1518" width="16.28515625" style="220" customWidth="1"/>
    <col min="1519" max="1519" width="20.28515625" style="220" bestFit="1" customWidth="1"/>
    <col min="1520" max="1522" width="20.28515625" style="220" customWidth="1"/>
    <col min="1523" max="1523" width="20.28515625" style="220" bestFit="1" customWidth="1"/>
    <col min="1524" max="1524" width="15.42578125" style="220" customWidth="1"/>
    <col min="1525" max="1525" width="20.28515625" style="220" bestFit="1" customWidth="1"/>
    <col min="1526" max="1528" width="20.28515625" style="220" customWidth="1"/>
    <col min="1529" max="1529" width="20.28515625" style="220" bestFit="1" customWidth="1"/>
    <col min="1530" max="1530" width="15.42578125" style="220" customWidth="1"/>
    <col min="1531" max="1531" width="20.7109375" style="220" bestFit="1" customWidth="1"/>
    <col min="1532" max="1534" width="20.7109375" style="220" customWidth="1"/>
    <col min="1535" max="1535" width="20.7109375" style="220" bestFit="1" customWidth="1"/>
    <col min="1536" max="1536" width="12.140625" style="220" customWidth="1"/>
    <col min="1537" max="1765" width="8.7109375" style="220" customWidth="1"/>
    <col min="1766" max="1766" width="7.28515625" style="220" customWidth="1"/>
    <col min="1767" max="1767" width="18.28515625" style="220" customWidth="1"/>
    <col min="1768" max="1768" width="23.42578125" style="220" bestFit="1" customWidth="1"/>
    <col min="1769" max="1770" width="10.140625" style="220" bestFit="1" customWidth="1"/>
    <col min="1771" max="1773" width="10.140625" style="220" customWidth="1"/>
    <col min="1774" max="1774" width="16.28515625" style="220" customWidth="1"/>
    <col min="1775" max="1775" width="20.28515625" style="220" bestFit="1" customWidth="1"/>
    <col min="1776" max="1778" width="20.28515625" style="220" customWidth="1"/>
    <col min="1779" max="1779" width="20.28515625" style="220" bestFit="1" customWidth="1"/>
    <col min="1780" max="1780" width="15.42578125" style="220" customWidth="1"/>
    <col min="1781" max="1781" width="20.28515625" style="220" bestFit="1" customWidth="1"/>
    <col min="1782" max="1784" width="20.28515625" style="220" customWidth="1"/>
    <col min="1785" max="1785" width="20.28515625" style="220" bestFit="1" customWidth="1"/>
    <col min="1786" max="1786" width="15.42578125" style="220" customWidth="1"/>
    <col min="1787" max="1787" width="20.7109375" style="220" bestFit="1" customWidth="1"/>
    <col min="1788" max="1790" width="20.7109375" style="220" customWidth="1"/>
    <col min="1791" max="1791" width="20.7109375" style="220" bestFit="1" customWidth="1"/>
    <col min="1792" max="1792" width="12.140625" style="220" customWidth="1"/>
    <col min="1793" max="2021" width="8.7109375" style="220" customWidth="1"/>
    <col min="2022" max="2022" width="7.28515625" style="220" customWidth="1"/>
    <col min="2023" max="2023" width="18.28515625" style="220" customWidth="1"/>
    <col min="2024" max="2024" width="23.42578125" style="220" bestFit="1" customWidth="1"/>
    <col min="2025" max="2026" width="10.140625" style="220" bestFit="1" customWidth="1"/>
    <col min="2027" max="2029" width="10.140625" style="220" customWidth="1"/>
    <col min="2030" max="2030" width="16.28515625" style="220" customWidth="1"/>
    <col min="2031" max="2031" width="20.28515625" style="220" bestFit="1" customWidth="1"/>
    <col min="2032" max="2034" width="20.28515625" style="220" customWidth="1"/>
    <col min="2035" max="2035" width="20.28515625" style="220" bestFit="1" customWidth="1"/>
    <col min="2036" max="2036" width="15.42578125" style="220" customWidth="1"/>
    <col min="2037" max="2037" width="20.28515625" style="220" bestFit="1" customWidth="1"/>
    <col min="2038" max="2040" width="20.28515625" style="220" customWidth="1"/>
    <col min="2041" max="2041" width="20.28515625" style="220" bestFit="1" customWidth="1"/>
    <col min="2042" max="2042" width="15.42578125" style="220" customWidth="1"/>
    <col min="2043" max="2043" width="20.7109375" style="220" bestFit="1" customWidth="1"/>
    <col min="2044" max="2046" width="20.7109375" style="220" customWidth="1"/>
    <col min="2047" max="2047" width="20.7109375" style="220" bestFit="1" customWidth="1"/>
    <col min="2048" max="2048" width="12.140625" style="220" customWidth="1"/>
    <col min="2049" max="2277" width="8.7109375" style="220" customWidth="1"/>
    <col min="2278" max="2278" width="7.28515625" style="220" customWidth="1"/>
    <col min="2279" max="2279" width="18.28515625" style="220" customWidth="1"/>
    <col min="2280" max="2280" width="23.42578125" style="220" bestFit="1" customWidth="1"/>
    <col min="2281" max="2282" width="10.140625" style="220" bestFit="1" customWidth="1"/>
    <col min="2283" max="2285" width="10.140625" style="220" customWidth="1"/>
    <col min="2286" max="2286" width="16.28515625" style="220" customWidth="1"/>
    <col min="2287" max="2287" width="20.28515625" style="220" bestFit="1" customWidth="1"/>
    <col min="2288" max="2290" width="20.28515625" style="220" customWidth="1"/>
    <col min="2291" max="2291" width="20.28515625" style="220" bestFit="1" customWidth="1"/>
    <col min="2292" max="2292" width="15.42578125" style="220" customWidth="1"/>
    <col min="2293" max="2293" width="20.28515625" style="220" bestFit="1" customWidth="1"/>
    <col min="2294" max="2296" width="20.28515625" style="220" customWidth="1"/>
    <col min="2297" max="2297" width="20.28515625" style="220" bestFit="1" customWidth="1"/>
    <col min="2298" max="2298" width="15.42578125" style="220" customWidth="1"/>
    <col min="2299" max="2299" width="20.7109375" style="220" bestFit="1" customWidth="1"/>
    <col min="2300" max="2302" width="20.7109375" style="220" customWidth="1"/>
    <col min="2303" max="2303" width="20.7109375" style="220" bestFit="1" customWidth="1"/>
    <col min="2304" max="2304" width="12.140625" style="220" customWidth="1"/>
    <col min="2305" max="2533" width="8.7109375" style="220" customWidth="1"/>
    <col min="2534" max="2534" width="7.28515625" style="220" customWidth="1"/>
    <col min="2535" max="2535" width="18.28515625" style="220" customWidth="1"/>
    <col min="2536" max="2536" width="23.42578125" style="220" bestFit="1" customWidth="1"/>
    <col min="2537" max="2538" width="10.140625" style="220" bestFit="1" customWidth="1"/>
    <col min="2539" max="2541" width="10.140625" style="220" customWidth="1"/>
    <col min="2542" max="2542" width="16.28515625" style="220" customWidth="1"/>
    <col min="2543" max="2543" width="20.28515625" style="220" bestFit="1" customWidth="1"/>
    <col min="2544" max="2546" width="20.28515625" style="220" customWidth="1"/>
    <col min="2547" max="2547" width="20.28515625" style="220" bestFit="1" customWidth="1"/>
    <col min="2548" max="2548" width="15.42578125" style="220" customWidth="1"/>
    <col min="2549" max="2549" width="20.28515625" style="220" bestFit="1" customWidth="1"/>
    <col min="2550" max="2552" width="20.28515625" style="220" customWidth="1"/>
    <col min="2553" max="2553" width="20.28515625" style="220" bestFit="1" customWidth="1"/>
    <col min="2554" max="2554" width="15.42578125" style="220" customWidth="1"/>
    <col min="2555" max="2555" width="20.7109375" style="220" bestFit="1" customWidth="1"/>
    <col min="2556" max="2558" width="20.7109375" style="220" customWidth="1"/>
    <col min="2559" max="2559" width="20.7109375" style="220" bestFit="1" customWidth="1"/>
    <col min="2560" max="2560" width="12.140625" style="220" customWidth="1"/>
    <col min="2561" max="2789" width="8.7109375" style="220" customWidth="1"/>
    <col min="2790" max="2790" width="7.28515625" style="220" customWidth="1"/>
    <col min="2791" max="2791" width="18.28515625" style="220" customWidth="1"/>
    <col min="2792" max="2792" width="23.42578125" style="220" bestFit="1" customWidth="1"/>
    <col min="2793" max="2794" width="10.140625" style="220" bestFit="1" customWidth="1"/>
    <col min="2795" max="2797" width="10.140625" style="220" customWidth="1"/>
    <col min="2798" max="2798" width="16.28515625" style="220" customWidth="1"/>
    <col min="2799" max="2799" width="20.28515625" style="220" bestFit="1" customWidth="1"/>
    <col min="2800" max="2802" width="20.28515625" style="220" customWidth="1"/>
    <col min="2803" max="2803" width="20.28515625" style="220" bestFit="1" customWidth="1"/>
    <col min="2804" max="2804" width="15.42578125" style="220" customWidth="1"/>
    <col min="2805" max="2805" width="20.28515625" style="220" bestFit="1" customWidth="1"/>
    <col min="2806" max="2808" width="20.28515625" style="220" customWidth="1"/>
    <col min="2809" max="2809" width="20.28515625" style="220" bestFit="1" customWidth="1"/>
    <col min="2810" max="2810" width="15.42578125" style="220" customWidth="1"/>
    <col min="2811" max="2811" width="20.7109375" style="220" bestFit="1" customWidth="1"/>
    <col min="2812" max="2814" width="20.7109375" style="220" customWidth="1"/>
    <col min="2815" max="2815" width="20.7109375" style="220" bestFit="1" customWidth="1"/>
    <col min="2816" max="2816" width="12.140625" style="220" customWidth="1"/>
    <col min="2817" max="3045" width="8.7109375" style="220" customWidth="1"/>
    <col min="3046" max="3046" width="7.28515625" style="220" customWidth="1"/>
    <col min="3047" max="3047" width="18.28515625" style="220" customWidth="1"/>
    <col min="3048" max="3048" width="23.42578125" style="220" bestFit="1" customWidth="1"/>
    <col min="3049" max="3050" width="10.140625" style="220" bestFit="1" customWidth="1"/>
    <col min="3051" max="3053" width="10.140625" style="220" customWidth="1"/>
    <col min="3054" max="3054" width="16.28515625" style="220" customWidth="1"/>
    <col min="3055" max="3055" width="20.28515625" style="220" bestFit="1" customWidth="1"/>
    <col min="3056" max="3058" width="20.28515625" style="220" customWidth="1"/>
    <col min="3059" max="3059" width="20.28515625" style="220" bestFit="1" customWidth="1"/>
    <col min="3060" max="3060" width="15.42578125" style="220" customWidth="1"/>
    <col min="3061" max="3061" width="20.28515625" style="220" bestFit="1" customWidth="1"/>
    <col min="3062" max="3064" width="20.28515625" style="220" customWidth="1"/>
    <col min="3065" max="3065" width="20.28515625" style="220" bestFit="1" customWidth="1"/>
    <col min="3066" max="3066" width="15.42578125" style="220" customWidth="1"/>
    <col min="3067" max="3067" width="20.7109375" style="220" bestFit="1" customWidth="1"/>
    <col min="3068" max="3070" width="20.7109375" style="220" customWidth="1"/>
    <col min="3071" max="3071" width="20.7109375" style="220" bestFit="1" customWidth="1"/>
    <col min="3072" max="3072" width="12.140625" style="220" customWidth="1"/>
    <col min="3073" max="3301" width="8.7109375" style="220" customWidth="1"/>
    <col min="3302" max="3302" width="7.28515625" style="220" customWidth="1"/>
    <col min="3303" max="3303" width="18.28515625" style="220" customWidth="1"/>
    <col min="3304" max="3304" width="23.42578125" style="220" bestFit="1" customWidth="1"/>
    <col min="3305" max="3306" width="10.140625" style="220" bestFit="1" customWidth="1"/>
    <col min="3307" max="3309" width="10.140625" style="220" customWidth="1"/>
    <col min="3310" max="3310" width="16.28515625" style="220" customWidth="1"/>
    <col min="3311" max="3311" width="20.28515625" style="220" bestFit="1" customWidth="1"/>
    <col min="3312" max="3314" width="20.28515625" style="220" customWidth="1"/>
    <col min="3315" max="3315" width="20.28515625" style="220" bestFit="1" customWidth="1"/>
    <col min="3316" max="3316" width="15.42578125" style="220" customWidth="1"/>
    <col min="3317" max="3317" width="20.28515625" style="220" bestFit="1" customWidth="1"/>
    <col min="3318" max="3320" width="20.28515625" style="220" customWidth="1"/>
    <col min="3321" max="3321" width="20.28515625" style="220" bestFit="1" customWidth="1"/>
    <col min="3322" max="3322" width="15.42578125" style="220" customWidth="1"/>
    <col min="3323" max="3323" width="20.7109375" style="220" bestFit="1" customWidth="1"/>
    <col min="3324" max="3326" width="20.7109375" style="220" customWidth="1"/>
    <col min="3327" max="3327" width="20.7109375" style="220" bestFit="1" customWidth="1"/>
    <col min="3328" max="3328" width="12.140625" style="220" customWidth="1"/>
    <col min="3329" max="3557" width="8.7109375" style="220" customWidth="1"/>
    <col min="3558" max="3558" width="7.28515625" style="220" customWidth="1"/>
    <col min="3559" max="3559" width="18.28515625" style="220" customWidth="1"/>
    <col min="3560" max="3560" width="23.42578125" style="220" bestFit="1" customWidth="1"/>
    <col min="3561" max="3562" width="10.140625" style="220" bestFit="1" customWidth="1"/>
    <col min="3563" max="3565" width="10.140625" style="220" customWidth="1"/>
    <col min="3566" max="3566" width="16.28515625" style="220" customWidth="1"/>
    <col min="3567" max="3567" width="20.28515625" style="220" bestFit="1" customWidth="1"/>
    <col min="3568" max="3570" width="20.28515625" style="220" customWidth="1"/>
    <col min="3571" max="3571" width="20.28515625" style="220" bestFit="1" customWidth="1"/>
    <col min="3572" max="3572" width="15.42578125" style="220" customWidth="1"/>
    <col min="3573" max="3573" width="20.28515625" style="220" bestFit="1" customWidth="1"/>
    <col min="3574" max="3576" width="20.28515625" style="220" customWidth="1"/>
    <col min="3577" max="3577" width="20.28515625" style="220" bestFit="1" customWidth="1"/>
    <col min="3578" max="3578" width="15.42578125" style="220" customWidth="1"/>
    <col min="3579" max="3579" width="20.7109375" style="220" bestFit="1" customWidth="1"/>
    <col min="3580" max="3582" width="20.7109375" style="220" customWidth="1"/>
    <col min="3583" max="3583" width="20.7109375" style="220" bestFit="1" customWidth="1"/>
    <col min="3584" max="3584" width="12.140625" style="220" customWidth="1"/>
    <col min="3585" max="3813" width="8.7109375" style="220" customWidth="1"/>
    <col min="3814" max="3814" width="7.28515625" style="220" customWidth="1"/>
    <col min="3815" max="3815" width="18.28515625" style="220" customWidth="1"/>
    <col min="3816" max="3816" width="23.42578125" style="220" bestFit="1" customWidth="1"/>
    <col min="3817" max="3818" width="10.140625" style="220" bestFit="1" customWidth="1"/>
    <col min="3819" max="3821" width="10.140625" style="220" customWidth="1"/>
    <col min="3822" max="3822" width="16.28515625" style="220" customWidth="1"/>
    <col min="3823" max="3823" width="20.28515625" style="220" bestFit="1" customWidth="1"/>
    <col min="3824" max="3826" width="20.28515625" style="220" customWidth="1"/>
    <col min="3827" max="3827" width="20.28515625" style="220" bestFit="1" customWidth="1"/>
    <col min="3828" max="3828" width="15.42578125" style="220" customWidth="1"/>
    <col min="3829" max="3829" width="20.28515625" style="220" bestFit="1" customWidth="1"/>
    <col min="3830" max="3832" width="20.28515625" style="220" customWidth="1"/>
    <col min="3833" max="3833" width="20.28515625" style="220" bestFit="1" customWidth="1"/>
    <col min="3834" max="3834" width="15.42578125" style="220" customWidth="1"/>
    <col min="3835" max="3835" width="20.7109375" style="220" bestFit="1" customWidth="1"/>
    <col min="3836" max="3838" width="20.7109375" style="220" customWidth="1"/>
    <col min="3839" max="3839" width="20.7109375" style="220" bestFit="1" customWidth="1"/>
    <col min="3840" max="3840" width="12.140625" style="220" customWidth="1"/>
    <col min="3841" max="4069" width="8.7109375" style="220" customWidth="1"/>
    <col min="4070" max="4070" width="7.28515625" style="220" customWidth="1"/>
    <col min="4071" max="4071" width="18.28515625" style="220" customWidth="1"/>
    <col min="4072" max="4072" width="23.42578125" style="220" bestFit="1" customWidth="1"/>
    <col min="4073" max="4074" width="10.140625" style="220" bestFit="1" customWidth="1"/>
    <col min="4075" max="4077" width="10.140625" style="220" customWidth="1"/>
    <col min="4078" max="4078" width="16.28515625" style="220" customWidth="1"/>
    <col min="4079" max="4079" width="20.28515625" style="220" bestFit="1" customWidth="1"/>
    <col min="4080" max="4082" width="20.28515625" style="220" customWidth="1"/>
    <col min="4083" max="4083" width="20.28515625" style="220" bestFit="1" customWidth="1"/>
    <col min="4084" max="4084" width="15.42578125" style="220" customWidth="1"/>
    <col min="4085" max="4085" width="20.28515625" style="220" bestFit="1" customWidth="1"/>
    <col min="4086" max="4088" width="20.28515625" style="220" customWidth="1"/>
    <col min="4089" max="4089" width="20.28515625" style="220" bestFit="1" customWidth="1"/>
    <col min="4090" max="4090" width="15.42578125" style="220" customWidth="1"/>
    <col min="4091" max="4091" width="20.7109375" style="220" bestFit="1" customWidth="1"/>
    <col min="4092" max="4094" width="20.7109375" style="220" customWidth="1"/>
    <col min="4095" max="4095" width="20.7109375" style="220" bestFit="1" customWidth="1"/>
    <col min="4096" max="4096" width="12.140625" style="220" customWidth="1"/>
    <col min="4097" max="4325" width="8.7109375" style="220" customWidth="1"/>
    <col min="4326" max="4326" width="7.28515625" style="220" customWidth="1"/>
    <col min="4327" max="4327" width="18.28515625" style="220" customWidth="1"/>
    <col min="4328" max="4328" width="23.42578125" style="220" bestFit="1" customWidth="1"/>
    <col min="4329" max="4330" width="10.140625" style="220" bestFit="1" customWidth="1"/>
    <col min="4331" max="4333" width="10.140625" style="220" customWidth="1"/>
    <col min="4334" max="4334" width="16.28515625" style="220" customWidth="1"/>
    <col min="4335" max="4335" width="20.28515625" style="220" bestFit="1" customWidth="1"/>
    <col min="4336" max="4338" width="20.28515625" style="220" customWidth="1"/>
    <col min="4339" max="4339" width="20.28515625" style="220" bestFit="1" customWidth="1"/>
    <col min="4340" max="4340" width="15.42578125" style="220" customWidth="1"/>
    <col min="4341" max="4341" width="20.28515625" style="220" bestFit="1" customWidth="1"/>
    <col min="4342" max="4344" width="20.28515625" style="220" customWidth="1"/>
    <col min="4345" max="4345" width="20.28515625" style="220" bestFit="1" customWidth="1"/>
    <col min="4346" max="4346" width="15.42578125" style="220" customWidth="1"/>
    <col min="4347" max="4347" width="20.7109375" style="220" bestFit="1" customWidth="1"/>
    <col min="4348" max="4350" width="20.7109375" style="220" customWidth="1"/>
    <col min="4351" max="4351" width="20.7109375" style="220" bestFit="1" customWidth="1"/>
    <col min="4352" max="4352" width="12.140625" style="220" customWidth="1"/>
    <col min="4353" max="4581" width="8.7109375" style="220" customWidth="1"/>
    <col min="4582" max="4582" width="7.28515625" style="220" customWidth="1"/>
    <col min="4583" max="4583" width="18.28515625" style="220" customWidth="1"/>
    <col min="4584" max="4584" width="23.42578125" style="220" bestFit="1" customWidth="1"/>
    <col min="4585" max="4586" width="10.140625" style="220" bestFit="1" customWidth="1"/>
    <col min="4587" max="4589" width="10.140625" style="220" customWidth="1"/>
    <col min="4590" max="4590" width="16.28515625" style="220" customWidth="1"/>
    <col min="4591" max="4591" width="20.28515625" style="220" bestFit="1" customWidth="1"/>
    <col min="4592" max="4594" width="20.28515625" style="220" customWidth="1"/>
    <col min="4595" max="4595" width="20.28515625" style="220" bestFit="1" customWidth="1"/>
    <col min="4596" max="4596" width="15.42578125" style="220" customWidth="1"/>
    <col min="4597" max="4597" width="20.28515625" style="220" bestFit="1" customWidth="1"/>
    <col min="4598" max="4600" width="20.28515625" style="220" customWidth="1"/>
    <col min="4601" max="4601" width="20.28515625" style="220" bestFit="1" customWidth="1"/>
    <col min="4602" max="4602" width="15.42578125" style="220" customWidth="1"/>
    <col min="4603" max="4603" width="20.7109375" style="220" bestFit="1" customWidth="1"/>
    <col min="4604" max="4606" width="20.7109375" style="220" customWidth="1"/>
    <col min="4607" max="4607" width="20.7109375" style="220" bestFit="1" customWidth="1"/>
    <col min="4608" max="4608" width="12.140625" style="220" customWidth="1"/>
    <col min="4609" max="4837" width="8.7109375" style="220" customWidth="1"/>
    <col min="4838" max="4838" width="7.28515625" style="220" customWidth="1"/>
    <col min="4839" max="4839" width="18.28515625" style="220" customWidth="1"/>
    <col min="4840" max="4840" width="23.42578125" style="220" bestFit="1" customWidth="1"/>
    <col min="4841" max="4842" width="10.140625" style="220" bestFit="1" customWidth="1"/>
    <col min="4843" max="4845" width="10.140625" style="220" customWidth="1"/>
    <col min="4846" max="4846" width="16.28515625" style="220" customWidth="1"/>
    <col min="4847" max="4847" width="20.28515625" style="220" bestFit="1" customWidth="1"/>
    <col min="4848" max="4850" width="20.28515625" style="220" customWidth="1"/>
    <col min="4851" max="4851" width="20.28515625" style="220" bestFit="1" customWidth="1"/>
    <col min="4852" max="4852" width="15.42578125" style="220" customWidth="1"/>
    <col min="4853" max="4853" width="20.28515625" style="220" bestFit="1" customWidth="1"/>
    <col min="4854" max="4856" width="20.28515625" style="220" customWidth="1"/>
    <col min="4857" max="4857" width="20.28515625" style="220" bestFit="1" customWidth="1"/>
    <col min="4858" max="4858" width="15.42578125" style="220" customWidth="1"/>
    <col min="4859" max="4859" width="20.7109375" style="220" bestFit="1" customWidth="1"/>
    <col min="4860" max="4862" width="20.7109375" style="220" customWidth="1"/>
    <col min="4863" max="4863" width="20.7109375" style="220" bestFit="1" customWidth="1"/>
    <col min="4864" max="4864" width="12.140625" style="220" customWidth="1"/>
    <col min="4865" max="5093" width="8.7109375" style="220" customWidth="1"/>
    <col min="5094" max="5094" width="7.28515625" style="220" customWidth="1"/>
    <col min="5095" max="5095" width="18.28515625" style="220" customWidth="1"/>
    <col min="5096" max="5096" width="23.42578125" style="220" bestFit="1" customWidth="1"/>
    <col min="5097" max="5098" width="10.140625" style="220" bestFit="1" customWidth="1"/>
    <col min="5099" max="5101" width="10.140625" style="220" customWidth="1"/>
    <col min="5102" max="5102" width="16.28515625" style="220" customWidth="1"/>
    <col min="5103" max="5103" width="20.28515625" style="220" bestFit="1" customWidth="1"/>
    <col min="5104" max="5106" width="20.28515625" style="220" customWidth="1"/>
    <col min="5107" max="5107" width="20.28515625" style="220" bestFit="1" customWidth="1"/>
    <col min="5108" max="5108" width="15.42578125" style="220" customWidth="1"/>
    <col min="5109" max="5109" width="20.28515625" style="220" bestFit="1" customWidth="1"/>
    <col min="5110" max="5112" width="20.28515625" style="220" customWidth="1"/>
    <col min="5113" max="5113" width="20.28515625" style="220" bestFit="1" customWidth="1"/>
    <col min="5114" max="5114" width="15.42578125" style="220" customWidth="1"/>
    <col min="5115" max="5115" width="20.7109375" style="220" bestFit="1" customWidth="1"/>
    <col min="5116" max="5118" width="20.7109375" style="220" customWidth="1"/>
    <col min="5119" max="5119" width="20.7109375" style="220" bestFit="1" customWidth="1"/>
    <col min="5120" max="5120" width="12.140625" style="220" customWidth="1"/>
    <col min="5121" max="5349" width="8.7109375" style="220" customWidth="1"/>
    <col min="5350" max="5350" width="7.28515625" style="220" customWidth="1"/>
    <col min="5351" max="5351" width="18.28515625" style="220" customWidth="1"/>
    <col min="5352" max="5352" width="23.42578125" style="220" bestFit="1" customWidth="1"/>
    <col min="5353" max="5354" width="10.140625" style="220" bestFit="1" customWidth="1"/>
    <col min="5355" max="5357" width="10.140625" style="220" customWidth="1"/>
    <col min="5358" max="5358" width="16.28515625" style="220" customWidth="1"/>
    <col min="5359" max="5359" width="20.28515625" style="220" bestFit="1" customWidth="1"/>
    <col min="5360" max="5362" width="20.28515625" style="220" customWidth="1"/>
    <col min="5363" max="5363" width="20.28515625" style="220" bestFit="1" customWidth="1"/>
    <col min="5364" max="5364" width="15.42578125" style="220" customWidth="1"/>
    <col min="5365" max="5365" width="20.28515625" style="220" bestFit="1" customWidth="1"/>
    <col min="5366" max="5368" width="20.28515625" style="220" customWidth="1"/>
    <col min="5369" max="5369" width="20.28515625" style="220" bestFit="1" customWidth="1"/>
    <col min="5370" max="5370" width="15.42578125" style="220" customWidth="1"/>
    <col min="5371" max="5371" width="20.7109375" style="220" bestFit="1" customWidth="1"/>
    <col min="5372" max="5374" width="20.7109375" style="220" customWidth="1"/>
    <col min="5375" max="5375" width="20.7109375" style="220" bestFit="1" customWidth="1"/>
    <col min="5376" max="5376" width="12.140625" style="220" customWidth="1"/>
    <col min="5377" max="5605" width="8.7109375" style="220" customWidth="1"/>
    <col min="5606" max="5606" width="7.28515625" style="220" customWidth="1"/>
    <col min="5607" max="5607" width="18.28515625" style="220" customWidth="1"/>
    <col min="5608" max="5608" width="23.42578125" style="220" bestFit="1" customWidth="1"/>
    <col min="5609" max="5610" width="10.140625" style="220" bestFit="1" customWidth="1"/>
    <col min="5611" max="5613" width="10.140625" style="220" customWidth="1"/>
    <col min="5614" max="5614" width="16.28515625" style="220" customWidth="1"/>
    <col min="5615" max="5615" width="20.28515625" style="220" bestFit="1" customWidth="1"/>
    <col min="5616" max="5618" width="20.28515625" style="220" customWidth="1"/>
    <col min="5619" max="5619" width="20.28515625" style="220" bestFit="1" customWidth="1"/>
    <col min="5620" max="5620" width="15.42578125" style="220" customWidth="1"/>
    <col min="5621" max="5621" width="20.28515625" style="220" bestFit="1" customWidth="1"/>
    <col min="5622" max="5624" width="20.28515625" style="220" customWidth="1"/>
    <col min="5625" max="5625" width="20.28515625" style="220" bestFit="1" customWidth="1"/>
    <col min="5626" max="5626" width="15.42578125" style="220" customWidth="1"/>
    <col min="5627" max="5627" width="20.7109375" style="220" bestFit="1" customWidth="1"/>
    <col min="5628" max="5630" width="20.7109375" style="220" customWidth="1"/>
    <col min="5631" max="5631" width="20.7109375" style="220" bestFit="1" customWidth="1"/>
    <col min="5632" max="5632" width="12.140625" style="220" customWidth="1"/>
    <col min="5633" max="5861" width="8.7109375" style="220" customWidth="1"/>
    <col min="5862" max="5862" width="7.28515625" style="220" customWidth="1"/>
    <col min="5863" max="5863" width="18.28515625" style="220" customWidth="1"/>
    <col min="5864" max="5864" width="23.42578125" style="220" bestFit="1" customWidth="1"/>
    <col min="5865" max="5866" width="10.140625" style="220" bestFit="1" customWidth="1"/>
    <col min="5867" max="5869" width="10.140625" style="220" customWidth="1"/>
    <col min="5870" max="5870" width="16.28515625" style="220" customWidth="1"/>
    <col min="5871" max="5871" width="20.28515625" style="220" bestFit="1" customWidth="1"/>
    <col min="5872" max="5874" width="20.28515625" style="220" customWidth="1"/>
    <col min="5875" max="5875" width="20.28515625" style="220" bestFit="1" customWidth="1"/>
    <col min="5876" max="5876" width="15.42578125" style="220" customWidth="1"/>
    <col min="5877" max="5877" width="20.28515625" style="220" bestFit="1" customWidth="1"/>
    <col min="5878" max="5880" width="20.28515625" style="220" customWidth="1"/>
    <col min="5881" max="5881" width="20.28515625" style="220" bestFit="1" customWidth="1"/>
    <col min="5882" max="5882" width="15.42578125" style="220" customWidth="1"/>
    <col min="5883" max="5883" width="20.7109375" style="220" bestFit="1" customWidth="1"/>
    <col min="5884" max="5886" width="20.7109375" style="220" customWidth="1"/>
    <col min="5887" max="5887" width="20.7109375" style="220" bestFit="1" customWidth="1"/>
    <col min="5888" max="5888" width="12.140625" style="220" customWidth="1"/>
    <col min="5889" max="6117" width="8.7109375" style="220" customWidth="1"/>
    <col min="6118" max="6118" width="7.28515625" style="220" customWidth="1"/>
    <col min="6119" max="6119" width="18.28515625" style="220" customWidth="1"/>
    <col min="6120" max="6120" width="23.42578125" style="220" bestFit="1" customWidth="1"/>
    <col min="6121" max="6122" width="10.140625" style="220" bestFit="1" customWidth="1"/>
    <col min="6123" max="6125" width="10.140625" style="220" customWidth="1"/>
    <col min="6126" max="6126" width="16.28515625" style="220" customWidth="1"/>
    <col min="6127" max="6127" width="20.28515625" style="220" bestFit="1" customWidth="1"/>
    <col min="6128" max="6130" width="20.28515625" style="220" customWidth="1"/>
    <col min="6131" max="6131" width="20.28515625" style="220" bestFit="1" customWidth="1"/>
    <col min="6132" max="6132" width="15.42578125" style="220" customWidth="1"/>
    <col min="6133" max="6133" width="20.28515625" style="220" bestFit="1" customWidth="1"/>
    <col min="6134" max="6136" width="20.28515625" style="220" customWidth="1"/>
    <col min="6137" max="6137" width="20.28515625" style="220" bestFit="1" customWidth="1"/>
    <col min="6138" max="6138" width="15.42578125" style="220" customWidth="1"/>
    <col min="6139" max="6139" width="20.7109375" style="220" bestFit="1" customWidth="1"/>
    <col min="6140" max="6142" width="20.7109375" style="220" customWidth="1"/>
    <col min="6143" max="6143" width="20.7109375" style="220" bestFit="1" customWidth="1"/>
    <col min="6144" max="6144" width="12.140625" style="220" customWidth="1"/>
    <col min="6145" max="6373" width="8.7109375" style="220" customWidth="1"/>
    <col min="6374" max="6374" width="7.28515625" style="220" customWidth="1"/>
    <col min="6375" max="6375" width="18.28515625" style="220" customWidth="1"/>
    <col min="6376" max="6376" width="23.42578125" style="220" bestFit="1" customWidth="1"/>
    <col min="6377" max="6378" width="10.140625" style="220" bestFit="1" customWidth="1"/>
    <col min="6379" max="6381" width="10.140625" style="220" customWidth="1"/>
    <col min="6382" max="6382" width="16.28515625" style="220" customWidth="1"/>
    <col min="6383" max="6383" width="20.28515625" style="220" bestFit="1" customWidth="1"/>
    <col min="6384" max="6386" width="20.28515625" style="220" customWidth="1"/>
    <col min="6387" max="6387" width="20.28515625" style="220" bestFit="1" customWidth="1"/>
    <col min="6388" max="6388" width="15.42578125" style="220" customWidth="1"/>
    <col min="6389" max="6389" width="20.28515625" style="220" bestFit="1" customWidth="1"/>
    <col min="6390" max="6392" width="20.28515625" style="220" customWidth="1"/>
    <col min="6393" max="6393" width="20.28515625" style="220" bestFit="1" customWidth="1"/>
    <col min="6394" max="6394" width="15.42578125" style="220" customWidth="1"/>
    <col min="6395" max="6395" width="20.7109375" style="220" bestFit="1" customWidth="1"/>
    <col min="6396" max="6398" width="20.7109375" style="220" customWidth="1"/>
    <col min="6399" max="6399" width="20.7109375" style="220" bestFit="1" customWidth="1"/>
    <col min="6400" max="6400" width="12.140625" style="220" customWidth="1"/>
    <col min="6401" max="6629" width="8.7109375" style="220" customWidth="1"/>
    <col min="6630" max="6630" width="7.28515625" style="220" customWidth="1"/>
    <col min="6631" max="6631" width="18.28515625" style="220" customWidth="1"/>
    <col min="6632" max="6632" width="23.42578125" style="220" bestFit="1" customWidth="1"/>
    <col min="6633" max="6634" width="10.140625" style="220" bestFit="1" customWidth="1"/>
    <col min="6635" max="6637" width="10.140625" style="220" customWidth="1"/>
    <col min="6638" max="6638" width="16.28515625" style="220" customWidth="1"/>
    <col min="6639" max="6639" width="20.28515625" style="220" bestFit="1" customWidth="1"/>
    <col min="6640" max="6642" width="20.28515625" style="220" customWidth="1"/>
    <col min="6643" max="6643" width="20.28515625" style="220" bestFit="1" customWidth="1"/>
    <col min="6644" max="6644" width="15.42578125" style="220" customWidth="1"/>
    <col min="6645" max="6645" width="20.28515625" style="220" bestFit="1" customWidth="1"/>
    <col min="6646" max="6648" width="20.28515625" style="220" customWidth="1"/>
    <col min="6649" max="6649" width="20.28515625" style="220" bestFit="1" customWidth="1"/>
    <col min="6650" max="6650" width="15.42578125" style="220" customWidth="1"/>
    <col min="6651" max="6651" width="20.7109375" style="220" bestFit="1" customWidth="1"/>
    <col min="6652" max="6654" width="20.7109375" style="220" customWidth="1"/>
    <col min="6655" max="6655" width="20.7109375" style="220" bestFit="1" customWidth="1"/>
    <col min="6656" max="6656" width="12.140625" style="220" customWidth="1"/>
    <col min="6657" max="6885" width="8.7109375" style="220" customWidth="1"/>
    <col min="6886" max="6886" width="7.28515625" style="220" customWidth="1"/>
    <col min="6887" max="6887" width="18.28515625" style="220" customWidth="1"/>
    <col min="6888" max="6888" width="23.42578125" style="220" bestFit="1" customWidth="1"/>
    <col min="6889" max="6890" width="10.140625" style="220" bestFit="1" customWidth="1"/>
    <col min="6891" max="6893" width="10.140625" style="220" customWidth="1"/>
    <col min="6894" max="6894" width="16.28515625" style="220" customWidth="1"/>
    <col min="6895" max="6895" width="20.28515625" style="220" bestFit="1" customWidth="1"/>
    <col min="6896" max="6898" width="20.28515625" style="220" customWidth="1"/>
    <col min="6899" max="6899" width="20.28515625" style="220" bestFit="1" customWidth="1"/>
    <col min="6900" max="6900" width="15.42578125" style="220" customWidth="1"/>
    <col min="6901" max="6901" width="20.28515625" style="220" bestFit="1" customWidth="1"/>
    <col min="6902" max="6904" width="20.28515625" style="220" customWidth="1"/>
    <col min="6905" max="6905" width="20.28515625" style="220" bestFit="1" customWidth="1"/>
    <col min="6906" max="6906" width="15.42578125" style="220" customWidth="1"/>
    <col min="6907" max="6907" width="20.7109375" style="220" bestFit="1" customWidth="1"/>
    <col min="6908" max="6910" width="20.7109375" style="220" customWidth="1"/>
    <col min="6911" max="6911" width="20.7109375" style="220" bestFit="1" customWidth="1"/>
    <col min="6912" max="6912" width="12.140625" style="220" customWidth="1"/>
    <col min="6913" max="7141" width="8.7109375" style="220" customWidth="1"/>
    <col min="7142" max="7142" width="7.28515625" style="220" customWidth="1"/>
    <col min="7143" max="7143" width="18.28515625" style="220" customWidth="1"/>
    <col min="7144" max="7144" width="23.42578125" style="220" bestFit="1" customWidth="1"/>
    <col min="7145" max="7146" width="10.140625" style="220" bestFit="1" customWidth="1"/>
    <col min="7147" max="7149" width="10.140625" style="220" customWidth="1"/>
    <col min="7150" max="7150" width="16.28515625" style="220" customWidth="1"/>
    <col min="7151" max="7151" width="20.28515625" style="220" bestFit="1" customWidth="1"/>
    <col min="7152" max="7154" width="20.28515625" style="220" customWidth="1"/>
    <col min="7155" max="7155" width="20.28515625" style="220" bestFit="1" customWidth="1"/>
    <col min="7156" max="7156" width="15.42578125" style="220" customWidth="1"/>
    <col min="7157" max="7157" width="20.28515625" style="220" bestFit="1" customWidth="1"/>
    <col min="7158" max="7160" width="20.28515625" style="220" customWidth="1"/>
    <col min="7161" max="7161" width="20.28515625" style="220" bestFit="1" customWidth="1"/>
    <col min="7162" max="7162" width="15.42578125" style="220" customWidth="1"/>
    <col min="7163" max="7163" width="20.7109375" style="220" bestFit="1" customWidth="1"/>
    <col min="7164" max="7166" width="20.7109375" style="220" customWidth="1"/>
    <col min="7167" max="7167" width="20.7109375" style="220" bestFit="1" customWidth="1"/>
    <col min="7168" max="7168" width="12.140625" style="220" customWidth="1"/>
    <col min="7169" max="7397" width="8.7109375" style="220" customWidth="1"/>
    <col min="7398" max="7398" width="7.28515625" style="220" customWidth="1"/>
    <col min="7399" max="7399" width="18.28515625" style="220" customWidth="1"/>
    <col min="7400" max="7400" width="23.42578125" style="220" bestFit="1" customWidth="1"/>
    <col min="7401" max="7402" width="10.140625" style="220" bestFit="1" customWidth="1"/>
    <col min="7403" max="7405" width="10.140625" style="220" customWidth="1"/>
    <col min="7406" max="7406" width="16.28515625" style="220" customWidth="1"/>
    <col min="7407" max="7407" width="20.28515625" style="220" bestFit="1" customWidth="1"/>
    <col min="7408" max="7410" width="20.28515625" style="220" customWidth="1"/>
    <col min="7411" max="7411" width="20.28515625" style="220" bestFit="1" customWidth="1"/>
    <col min="7412" max="7412" width="15.42578125" style="220" customWidth="1"/>
    <col min="7413" max="7413" width="20.28515625" style="220" bestFit="1" customWidth="1"/>
    <col min="7414" max="7416" width="20.28515625" style="220" customWidth="1"/>
    <col min="7417" max="7417" width="20.28515625" style="220" bestFit="1" customWidth="1"/>
    <col min="7418" max="7418" width="15.42578125" style="220" customWidth="1"/>
    <col min="7419" max="7419" width="20.7109375" style="220" bestFit="1" customWidth="1"/>
    <col min="7420" max="7422" width="20.7109375" style="220" customWidth="1"/>
    <col min="7423" max="7423" width="20.7109375" style="220" bestFit="1" customWidth="1"/>
    <col min="7424" max="7424" width="12.140625" style="220" customWidth="1"/>
    <col min="7425" max="7653" width="8.7109375" style="220" customWidth="1"/>
    <col min="7654" max="7654" width="7.28515625" style="220" customWidth="1"/>
    <col min="7655" max="7655" width="18.28515625" style="220" customWidth="1"/>
    <col min="7656" max="7656" width="23.42578125" style="220" bestFit="1" customWidth="1"/>
    <col min="7657" max="7658" width="10.140625" style="220" bestFit="1" customWidth="1"/>
    <col min="7659" max="7661" width="10.140625" style="220" customWidth="1"/>
    <col min="7662" max="7662" width="16.28515625" style="220" customWidth="1"/>
    <col min="7663" max="7663" width="20.28515625" style="220" bestFit="1" customWidth="1"/>
    <col min="7664" max="7666" width="20.28515625" style="220" customWidth="1"/>
    <col min="7667" max="7667" width="20.28515625" style="220" bestFit="1" customWidth="1"/>
    <col min="7668" max="7668" width="15.42578125" style="220" customWidth="1"/>
    <col min="7669" max="7669" width="20.28515625" style="220" bestFit="1" customWidth="1"/>
    <col min="7670" max="7672" width="20.28515625" style="220" customWidth="1"/>
    <col min="7673" max="7673" width="20.28515625" style="220" bestFit="1" customWidth="1"/>
    <col min="7674" max="7674" width="15.42578125" style="220" customWidth="1"/>
    <col min="7675" max="7675" width="20.7109375" style="220" bestFit="1" customWidth="1"/>
    <col min="7676" max="7678" width="20.7109375" style="220" customWidth="1"/>
    <col min="7679" max="7679" width="20.7109375" style="220" bestFit="1" customWidth="1"/>
    <col min="7680" max="7680" width="12.140625" style="220" customWidth="1"/>
    <col min="7681" max="7909" width="8.7109375" style="220" customWidth="1"/>
    <col min="7910" max="7910" width="7.28515625" style="220" customWidth="1"/>
    <col min="7911" max="7911" width="18.28515625" style="220" customWidth="1"/>
    <col min="7912" max="7912" width="23.42578125" style="220" bestFit="1" customWidth="1"/>
    <col min="7913" max="7914" width="10.140625" style="220" bestFit="1" customWidth="1"/>
    <col min="7915" max="7917" width="10.140625" style="220" customWidth="1"/>
    <col min="7918" max="7918" width="16.28515625" style="220" customWidth="1"/>
    <col min="7919" max="7919" width="20.28515625" style="220" bestFit="1" customWidth="1"/>
    <col min="7920" max="7922" width="20.28515625" style="220" customWidth="1"/>
    <col min="7923" max="7923" width="20.28515625" style="220" bestFit="1" customWidth="1"/>
    <col min="7924" max="7924" width="15.42578125" style="220" customWidth="1"/>
    <col min="7925" max="7925" width="20.28515625" style="220" bestFit="1" customWidth="1"/>
    <col min="7926" max="7928" width="20.28515625" style="220" customWidth="1"/>
    <col min="7929" max="7929" width="20.28515625" style="220" bestFit="1" customWidth="1"/>
    <col min="7930" max="7930" width="15.42578125" style="220" customWidth="1"/>
    <col min="7931" max="7931" width="20.7109375" style="220" bestFit="1" customWidth="1"/>
    <col min="7932" max="7934" width="20.7109375" style="220" customWidth="1"/>
    <col min="7935" max="7935" width="20.7109375" style="220" bestFit="1" customWidth="1"/>
    <col min="7936" max="7936" width="12.140625" style="220" customWidth="1"/>
    <col min="7937" max="8165" width="8.7109375" style="220" customWidth="1"/>
    <col min="8166" max="8166" width="7.28515625" style="220" customWidth="1"/>
    <col min="8167" max="8167" width="18.28515625" style="220" customWidth="1"/>
    <col min="8168" max="8168" width="23.42578125" style="220" bestFit="1" customWidth="1"/>
    <col min="8169" max="8170" width="10.140625" style="220" bestFit="1" customWidth="1"/>
    <col min="8171" max="8173" width="10.140625" style="220" customWidth="1"/>
    <col min="8174" max="8174" width="16.28515625" style="220" customWidth="1"/>
    <col min="8175" max="8175" width="20.28515625" style="220" bestFit="1" customWidth="1"/>
    <col min="8176" max="8178" width="20.28515625" style="220" customWidth="1"/>
    <col min="8179" max="8179" width="20.28515625" style="220" bestFit="1" customWidth="1"/>
    <col min="8180" max="8180" width="15.42578125" style="220" customWidth="1"/>
    <col min="8181" max="8181" width="20.28515625" style="220" bestFit="1" customWidth="1"/>
    <col min="8182" max="8184" width="20.28515625" style="220" customWidth="1"/>
    <col min="8185" max="8185" width="20.28515625" style="220" bestFit="1" customWidth="1"/>
    <col min="8186" max="8186" width="15.42578125" style="220" customWidth="1"/>
    <col min="8187" max="8187" width="20.7109375" style="220" bestFit="1" customWidth="1"/>
    <col min="8188" max="8190" width="20.7109375" style="220" customWidth="1"/>
    <col min="8191" max="8191" width="20.7109375" style="220" bestFit="1" customWidth="1"/>
    <col min="8192" max="8192" width="12.140625" style="220" customWidth="1"/>
    <col min="8193" max="8421" width="8.7109375" style="220" customWidth="1"/>
    <col min="8422" max="8422" width="7.28515625" style="220" customWidth="1"/>
    <col min="8423" max="8423" width="18.28515625" style="220" customWidth="1"/>
    <col min="8424" max="8424" width="23.42578125" style="220" bestFit="1" customWidth="1"/>
    <col min="8425" max="8426" width="10.140625" style="220" bestFit="1" customWidth="1"/>
    <col min="8427" max="8429" width="10.140625" style="220" customWidth="1"/>
    <col min="8430" max="8430" width="16.28515625" style="220" customWidth="1"/>
    <col min="8431" max="8431" width="20.28515625" style="220" bestFit="1" customWidth="1"/>
    <col min="8432" max="8434" width="20.28515625" style="220" customWidth="1"/>
    <col min="8435" max="8435" width="20.28515625" style="220" bestFit="1" customWidth="1"/>
    <col min="8436" max="8436" width="15.42578125" style="220" customWidth="1"/>
    <col min="8437" max="8437" width="20.28515625" style="220" bestFit="1" customWidth="1"/>
    <col min="8438" max="8440" width="20.28515625" style="220" customWidth="1"/>
    <col min="8441" max="8441" width="20.28515625" style="220" bestFit="1" customWidth="1"/>
    <col min="8442" max="8442" width="15.42578125" style="220" customWidth="1"/>
    <col min="8443" max="8443" width="20.7109375" style="220" bestFit="1" customWidth="1"/>
    <col min="8444" max="8446" width="20.7109375" style="220" customWidth="1"/>
    <col min="8447" max="8447" width="20.7109375" style="220" bestFit="1" customWidth="1"/>
    <col min="8448" max="8448" width="12.140625" style="220" customWidth="1"/>
    <col min="8449" max="8677" width="8.7109375" style="220" customWidth="1"/>
    <col min="8678" max="8678" width="7.28515625" style="220" customWidth="1"/>
    <col min="8679" max="8679" width="18.28515625" style="220" customWidth="1"/>
    <col min="8680" max="8680" width="23.42578125" style="220" bestFit="1" customWidth="1"/>
    <col min="8681" max="8682" width="10.140625" style="220" bestFit="1" customWidth="1"/>
    <col min="8683" max="8685" width="10.140625" style="220" customWidth="1"/>
    <col min="8686" max="8686" width="16.28515625" style="220" customWidth="1"/>
    <col min="8687" max="8687" width="20.28515625" style="220" bestFit="1" customWidth="1"/>
    <col min="8688" max="8690" width="20.28515625" style="220" customWidth="1"/>
    <col min="8691" max="8691" width="20.28515625" style="220" bestFit="1" customWidth="1"/>
    <col min="8692" max="8692" width="15.42578125" style="220" customWidth="1"/>
    <col min="8693" max="8693" width="20.28515625" style="220" bestFit="1" customWidth="1"/>
    <col min="8694" max="8696" width="20.28515625" style="220" customWidth="1"/>
    <col min="8697" max="8697" width="20.28515625" style="220" bestFit="1" customWidth="1"/>
    <col min="8698" max="8698" width="15.42578125" style="220" customWidth="1"/>
    <col min="8699" max="8699" width="20.7109375" style="220" bestFit="1" customWidth="1"/>
    <col min="8700" max="8702" width="20.7109375" style="220" customWidth="1"/>
    <col min="8703" max="8703" width="20.7109375" style="220" bestFit="1" customWidth="1"/>
    <col min="8704" max="8704" width="12.140625" style="220" customWidth="1"/>
    <col min="8705" max="8933" width="8.7109375" style="220" customWidth="1"/>
    <col min="8934" max="8934" width="7.28515625" style="220" customWidth="1"/>
    <col min="8935" max="8935" width="18.28515625" style="220" customWidth="1"/>
    <col min="8936" max="8936" width="23.42578125" style="220" bestFit="1" customWidth="1"/>
    <col min="8937" max="8938" width="10.140625" style="220" bestFit="1" customWidth="1"/>
    <col min="8939" max="8941" width="10.140625" style="220" customWidth="1"/>
    <col min="8942" max="8942" width="16.28515625" style="220" customWidth="1"/>
    <col min="8943" max="8943" width="20.28515625" style="220" bestFit="1" customWidth="1"/>
    <col min="8944" max="8946" width="20.28515625" style="220" customWidth="1"/>
    <col min="8947" max="8947" width="20.28515625" style="220" bestFit="1" customWidth="1"/>
    <col min="8948" max="8948" width="15.42578125" style="220" customWidth="1"/>
    <col min="8949" max="8949" width="20.28515625" style="220" bestFit="1" customWidth="1"/>
    <col min="8950" max="8952" width="20.28515625" style="220" customWidth="1"/>
    <col min="8953" max="8953" width="20.28515625" style="220" bestFit="1" customWidth="1"/>
    <col min="8954" max="8954" width="15.42578125" style="220" customWidth="1"/>
    <col min="8955" max="8955" width="20.7109375" style="220" bestFit="1" customWidth="1"/>
    <col min="8956" max="8958" width="20.7109375" style="220" customWidth="1"/>
    <col min="8959" max="8959" width="20.7109375" style="220" bestFit="1" customWidth="1"/>
    <col min="8960" max="8960" width="12.140625" style="220" customWidth="1"/>
    <col min="8961" max="9189" width="8.7109375" style="220" customWidth="1"/>
    <col min="9190" max="9190" width="7.28515625" style="220" customWidth="1"/>
    <col min="9191" max="9191" width="18.28515625" style="220" customWidth="1"/>
    <col min="9192" max="9192" width="23.42578125" style="220" bestFit="1" customWidth="1"/>
    <col min="9193" max="9194" width="10.140625" style="220" bestFit="1" customWidth="1"/>
    <col min="9195" max="9197" width="10.140625" style="220" customWidth="1"/>
    <col min="9198" max="9198" width="16.28515625" style="220" customWidth="1"/>
    <col min="9199" max="9199" width="20.28515625" style="220" bestFit="1" customWidth="1"/>
    <col min="9200" max="9202" width="20.28515625" style="220" customWidth="1"/>
    <col min="9203" max="9203" width="20.28515625" style="220" bestFit="1" customWidth="1"/>
    <col min="9204" max="9204" width="15.42578125" style="220" customWidth="1"/>
    <col min="9205" max="9205" width="20.28515625" style="220" bestFit="1" customWidth="1"/>
    <col min="9206" max="9208" width="20.28515625" style="220" customWidth="1"/>
    <col min="9209" max="9209" width="20.28515625" style="220" bestFit="1" customWidth="1"/>
    <col min="9210" max="9210" width="15.42578125" style="220" customWidth="1"/>
    <col min="9211" max="9211" width="20.7109375" style="220" bestFit="1" customWidth="1"/>
    <col min="9212" max="9214" width="20.7109375" style="220" customWidth="1"/>
    <col min="9215" max="9215" width="20.7109375" style="220" bestFit="1" customWidth="1"/>
    <col min="9216" max="9216" width="12.140625" style="220" customWidth="1"/>
    <col min="9217" max="9445" width="8.7109375" style="220" customWidth="1"/>
    <col min="9446" max="9446" width="7.28515625" style="220" customWidth="1"/>
    <col min="9447" max="9447" width="18.28515625" style="220" customWidth="1"/>
    <col min="9448" max="9448" width="23.42578125" style="220" bestFit="1" customWidth="1"/>
    <col min="9449" max="9450" width="10.140625" style="220" bestFit="1" customWidth="1"/>
    <col min="9451" max="9453" width="10.140625" style="220" customWidth="1"/>
    <col min="9454" max="9454" width="16.28515625" style="220" customWidth="1"/>
    <col min="9455" max="9455" width="20.28515625" style="220" bestFit="1" customWidth="1"/>
    <col min="9456" max="9458" width="20.28515625" style="220" customWidth="1"/>
    <col min="9459" max="9459" width="20.28515625" style="220" bestFit="1" customWidth="1"/>
    <col min="9460" max="9460" width="15.42578125" style="220" customWidth="1"/>
    <col min="9461" max="9461" width="20.28515625" style="220" bestFit="1" customWidth="1"/>
    <col min="9462" max="9464" width="20.28515625" style="220" customWidth="1"/>
    <col min="9465" max="9465" width="20.28515625" style="220" bestFit="1" customWidth="1"/>
    <col min="9466" max="9466" width="15.42578125" style="220" customWidth="1"/>
    <col min="9467" max="9467" width="20.7109375" style="220" bestFit="1" customWidth="1"/>
    <col min="9468" max="9470" width="20.7109375" style="220" customWidth="1"/>
    <col min="9471" max="9471" width="20.7109375" style="220" bestFit="1" customWidth="1"/>
    <col min="9472" max="9472" width="12.140625" style="220" customWidth="1"/>
    <col min="9473" max="9701" width="8.7109375" style="220" customWidth="1"/>
    <col min="9702" max="9702" width="7.28515625" style="220" customWidth="1"/>
    <col min="9703" max="9703" width="18.28515625" style="220" customWidth="1"/>
    <col min="9704" max="9704" width="23.42578125" style="220" bestFit="1" customWidth="1"/>
    <col min="9705" max="9706" width="10.140625" style="220" bestFit="1" customWidth="1"/>
    <col min="9707" max="9709" width="10.140625" style="220" customWidth="1"/>
    <col min="9710" max="9710" width="16.28515625" style="220" customWidth="1"/>
    <col min="9711" max="9711" width="20.28515625" style="220" bestFit="1" customWidth="1"/>
    <col min="9712" max="9714" width="20.28515625" style="220" customWidth="1"/>
    <col min="9715" max="9715" width="20.28515625" style="220" bestFit="1" customWidth="1"/>
    <col min="9716" max="9716" width="15.42578125" style="220" customWidth="1"/>
    <col min="9717" max="9717" width="20.28515625" style="220" bestFit="1" customWidth="1"/>
    <col min="9718" max="9720" width="20.28515625" style="220" customWidth="1"/>
    <col min="9721" max="9721" width="20.28515625" style="220" bestFit="1" customWidth="1"/>
    <col min="9722" max="9722" width="15.42578125" style="220" customWidth="1"/>
    <col min="9723" max="9723" width="20.7109375" style="220" bestFit="1" customWidth="1"/>
    <col min="9724" max="9726" width="20.7109375" style="220" customWidth="1"/>
    <col min="9727" max="9727" width="20.7109375" style="220" bestFit="1" customWidth="1"/>
    <col min="9728" max="9728" width="12.140625" style="220" customWidth="1"/>
    <col min="9729" max="9957" width="8.7109375" style="220" customWidth="1"/>
    <col min="9958" max="9958" width="7.28515625" style="220" customWidth="1"/>
    <col min="9959" max="9959" width="18.28515625" style="220" customWidth="1"/>
    <col min="9960" max="9960" width="23.42578125" style="220" bestFit="1" customWidth="1"/>
    <col min="9961" max="9962" width="10.140625" style="220" bestFit="1" customWidth="1"/>
    <col min="9963" max="9965" width="10.140625" style="220" customWidth="1"/>
    <col min="9966" max="9966" width="16.28515625" style="220" customWidth="1"/>
    <col min="9967" max="9967" width="20.28515625" style="220" bestFit="1" customWidth="1"/>
    <col min="9968" max="9970" width="20.28515625" style="220" customWidth="1"/>
    <col min="9971" max="9971" width="20.28515625" style="220" bestFit="1" customWidth="1"/>
    <col min="9972" max="9972" width="15.42578125" style="220" customWidth="1"/>
    <col min="9973" max="9973" width="20.28515625" style="220" bestFit="1" customWidth="1"/>
    <col min="9974" max="9976" width="20.28515625" style="220" customWidth="1"/>
    <col min="9977" max="9977" width="20.28515625" style="220" bestFit="1" customWidth="1"/>
    <col min="9978" max="9978" width="15.42578125" style="220" customWidth="1"/>
    <col min="9979" max="9979" width="20.7109375" style="220" bestFit="1" customWidth="1"/>
    <col min="9980" max="9982" width="20.7109375" style="220" customWidth="1"/>
    <col min="9983" max="9983" width="20.7109375" style="220" bestFit="1" customWidth="1"/>
    <col min="9984" max="9984" width="12.140625" style="220" customWidth="1"/>
    <col min="9985" max="10213" width="8.7109375" style="220" customWidth="1"/>
    <col min="10214" max="10214" width="7.28515625" style="220" customWidth="1"/>
    <col min="10215" max="10215" width="18.28515625" style="220" customWidth="1"/>
    <col min="10216" max="10216" width="23.42578125" style="220" bestFit="1" customWidth="1"/>
    <col min="10217" max="10218" width="10.140625" style="220" bestFit="1" customWidth="1"/>
    <col min="10219" max="10221" width="10.140625" style="220" customWidth="1"/>
    <col min="10222" max="10222" width="16.28515625" style="220" customWidth="1"/>
    <col min="10223" max="10223" width="20.28515625" style="220" bestFit="1" customWidth="1"/>
    <col min="10224" max="10226" width="20.28515625" style="220" customWidth="1"/>
    <col min="10227" max="10227" width="20.28515625" style="220" bestFit="1" customWidth="1"/>
    <col min="10228" max="10228" width="15.42578125" style="220" customWidth="1"/>
    <col min="10229" max="10229" width="20.28515625" style="220" bestFit="1" customWidth="1"/>
    <col min="10230" max="10232" width="20.28515625" style="220" customWidth="1"/>
    <col min="10233" max="10233" width="20.28515625" style="220" bestFit="1" customWidth="1"/>
    <col min="10234" max="10234" width="15.42578125" style="220" customWidth="1"/>
    <col min="10235" max="10235" width="20.7109375" style="220" bestFit="1" customWidth="1"/>
    <col min="10236" max="10238" width="20.7109375" style="220" customWidth="1"/>
    <col min="10239" max="10239" width="20.7109375" style="220" bestFit="1" customWidth="1"/>
    <col min="10240" max="10240" width="12.140625" style="220" customWidth="1"/>
    <col min="10241" max="10469" width="8.7109375" style="220" customWidth="1"/>
    <col min="10470" max="10470" width="7.28515625" style="220" customWidth="1"/>
    <col min="10471" max="10471" width="18.28515625" style="220" customWidth="1"/>
    <col min="10472" max="10472" width="23.42578125" style="220" bestFit="1" customWidth="1"/>
    <col min="10473" max="10474" width="10.140625" style="220" bestFit="1" customWidth="1"/>
    <col min="10475" max="10477" width="10.140625" style="220" customWidth="1"/>
    <col min="10478" max="10478" width="16.28515625" style="220" customWidth="1"/>
    <col min="10479" max="10479" width="20.28515625" style="220" bestFit="1" customWidth="1"/>
    <col min="10480" max="10482" width="20.28515625" style="220" customWidth="1"/>
    <col min="10483" max="10483" width="20.28515625" style="220" bestFit="1" customWidth="1"/>
    <col min="10484" max="10484" width="15.42578125" style="220" customWidth="1"/>
    <col min="10485" max="10485" width="20.28515625" style="220" bestFit="1" customWidth="1"/>
    <col min="10486" max="10488" width="20.28515625" style="220" customWidth="1"/>
    <col min="10489" max="10489" width="20.28515625" style="220" bestFit="1" customWidth="1"/>
    <col min="10490" max="10490" width="15.42578125" style="220" customWidth="1"/>
    <col min="10491" max="10491" width="20.7109375" style="220" bestFit="1" customWidth="1"/>
    <col min="10492" max="10494" width="20.7109375" style="220" customWidth="1"/>
    <col min="10495" max="10495" width="20.7109375" style="220" bestFit="1" customWidth="1"/>
    <col min="10496" max="10496" width="12.140625" style="220" customWidth="1"/>
    <col min="10497" max="10725" width="8.7109375" style="220" customWidth="1"/>
    <col min="10726" max="10726" width="7.28515625" style="220" customWidth="1"/>
    <col min="10727" max="10727" width="18.28515625" style="220" customWidth="1"/>
    <col min="10728" max="10728" width="23.42578125" style="220" bestFit="1" customWidth="1"/>
    <col min="10729" max="10730" width="10.140625" style="220" bestFit="1" customWidth="1"/>
    <col min="10731" max="10733" width="10.140625" style="220" customWidth="1"/>
    <col min="10734" max="10734" width="16.28515625" style="220" customWidth="1"/>
    <col min="10735" max="10735" width="20.28515625" style="220" bestFit="1" customWidth="1"/>
    <col min="10736" max="10738" width="20.28515625" style="220" customWidth="1"/>
    <col min="10739" max="10739" width="20.28515625" style="220" bestFit="1" customWidth="1"/>
    <col min="10740" max="10740" width="15.42578125" style="220" customWidth="1"/>
    <col min="10741" max="10741" width="20.28515625" style="220" bestFit="1" customWidth="1"/>
    <col min="10742" max="10744" width="20.28515625" style="220" customWidth="1"/>
    <col min="10745" max="10745" width="20.28515625" style="220" bestFit="1" customWidth="1"/>
    <col min="10746" max="10746" width="15.42578125" style="220" customWidth="1"/>
    <col min="10747" max="10747" width="20.7109375" style="220" bestFit="1" customWidth="1"/>
    <col min="10748" max="10750" width="20.7109375" style="220" customWidth="1"/>
    <col min="10751" max="10751" width="20.7109375" style="220" bestFit="1" customWidth="1"/>
    <col min="10752" max="10752" width="12.140625" style="220" customWidth="1"/>
    <col min="10753" max="10981" width="8.7109375" style="220" customWidth="1"/>
    <col min="10982" max="10982" width="7.28515625" style="220" customWidth="1"/>
    <col min="10983" max="10983" width="18.28515625" style="220" customWidth="1"/>
    <col min="10984" max="10984" width="23.42578125" style="220" bestFit="1" customWidth="1"/>
    <col min="10985" max="10986" width="10.140625" style="220" bestFit="1" customWidth="1"/>
    <col min="10987" max="10989" width="10.140625" style="220" customWidth="1"/>
    <col min="10990" max="10990" width="16.28515625" style="220" customWidth="1"/>
    <col min="10991" max="10991" width="20.28515625" style="220" bestFit="1" customWidth="1"/>
    <col min="10992" max="10994" width="20.28515625" style="220" customWidth="1"/>
    <col min="10995" max="10995" width="20.28515625" style="220" bestFit="1" customWidth="1"/>
    <col min="10996" max="10996" width="15.42578125" style="220" customWidth="1"/>
    <col min="10997" max="10997" width="20.28515625" style="220" bestFit="1" customWidth="1"/>
    <col min="10998" max="11000" width="20.28515625" style="220" customWidth="1"/>
    <col min="11001" max="11001" width="20.28515625" style="220" bestFit="1" customWidth="1"/>
    <col min="11002" max="11002" width="15.42578125" style="220" customWidth="1"/>
    <col min="11003" max="11003" width="20.7109375" style="220" bestFit="1" customWidth="1"/>
    <col min="11004" max="11006" width="20.7109375" style="220" customWidth="1"/>
    <col min="11007" max="11007" width="20.7109375" style="220" bestFit="1" customWidth="1"/>
    <col min="11008" max="11008" width="12.140625" style="220" customWidth="1"/>
    <col min="11009" max="11237" width="8.7109375" style="220" customWidth="1"/>
    <col min="11238" max="11238" width="7.28515625" style="220" customWidth="1"/>
    <col min="11239" max="11239" width="18.28515625" style="220" customWidth="1"/>
    <col min="11240" max="11240" width="23.42578125" style="220" bestFit="1" customWidth="1"/>
    <col min="11241" max="11242" width="10.140625" style="220" bestFit="1" customWidth="1"/>
    <col min="11243" max="11245" width="10.140625" style="220" customWidth="1"/>
    <col min="11246" max="11246" width="16.28515625" style="220" customWidth="1"/>
    <col min="11247" max="11247" width="20.28515625" style="220" bestFit="1" customWidth="1"/>
    <col min="11248" max="11250" width="20.28515625" style="220" customWidth="1"/>
    <col min="11251" max="11251" width="20.28515625" style="220" bestFit="1" customWidth="1"/>
    <col min="11252" max="11252" width="15.42578125" style="220" customWidth="1"/>
    <col min="11253" max="11253" width="20.28515625" style="220" bestFit="1" customWidth="1"/>
    <col min="11254" max="11256" width="20.28515625" style="220" customWidth="1"/>
    <col min="11257" max="11257" width="20.28515625" style="220" bestFit="1" customWidth="1"/>
    <col min="11258" max="11258" width="15.42578125" style="220" customWidth="1"/>
    <col min="11259" max="11259" width="20.7109375" style="220" bestFit="1" customWidth="1"/>
    <col min="11260" max="11262" width="20.7109375" style="220" customWidth="1"/>
    <col min="11263" max="11263" width="20.7109375" style="220" bestFit="1" customWidth="1"/>
    <col min="11264" max="11264" width="12.140625" style="220" customWidth="1"/>
    <col min="11265" max="11493" width="8.7109375" style="220" customWidth="1"/>
    <col min="11494" max="11494" width="7.28515625" style="220" customWidth="1"/>
    <col min="11495" max="11495" width="18.28515625" style="220" customWidth="1"/>
    <col min="11496" max="11496" width="23.42578125" style="220" bestFit="1" customWidth="1"/>
    <col min="11497" max="11498" width="10.140625" style="220" bestFit="1" customWidth="1"/>
    <col min="11499" max="11501" width="10.140625" style="220" customWidth="1"/>
    <col min="11502" max="11502" width="16.28515625" style="220" customWidth="1"/>
    <col min="11503" max="11503" width="20.28515625" style="220" bestFit="1" customWidth="1"/>
    <col min="11504" max="11506" width="20.28515625" style="220" customWidth="1"/>
    <col min="11507" max="11507" width="20.28515625" style="220" bestFit="1" customWidth="1"/>
    <col min="11508" max="11508" width="15.42578125" style="220" customWidth="1"/>
    <col min="11509" max="11509" width="20.28515625" style="220" bestFit="1" customWidth="1"/>
    <col min="11510" max="11512" width="20.28515625" style="220" customWidth="1"/>
    <col min="11513" max="11513" width="20.28515625" style="220" bestFit="1" customWidth="1"/>
    <col min="11514" max="11514" width="15.42578125" style="220" customWidth="1"/>
    <col min="11515" max="11515" width="20.7109375" style="220" bestFit="1" customWidth="1"/>
    <col min="11516" max="11518" width="20.7109375" style="220" customWidth="1"/>
    <col min="11519" max="11519" width="20.7109375" style="220" bestFit="1" customWidth="1"/>
    <col min="11520" max="11520" width="12.140625" style="220" customWidth="1"/>
    <col min="11521" max="11749" width="8.7109375" style="220" customWidth="1"/>
    <col min="11750" max="11750" width="7.28515625" style="220" customWidth="1"/>
    <col min="11751" max="11751" width="18.28515625" style="220" customWidth="1"/>
    <col min="11752" max="11752" width="23.42578125" style="220" bestFit="1" customWidth="1"/>
    <col min="11753" max="11754" width="10.140625" style="220" bestFit="1" customWidth="1"/>
    <col min="11755" max="11757" width="10.140625" style="220" customWidth="1"/>
    <col min="11758" max="11758" width="16.28515625" style="220" customWidth="1"/>
    <col min="11759" max="11759" width="20.28515625" style="220" bestFit="1" customWidth="1"/>
    <col min="11760" max="11762" width="20.28515625" style="220" customWidth="1"/>
    <col min="11763" max="11763" width="20.28515625" style="220" bestFit="1" customWidth="1"/>
    <col min="11764" max="11764" width="15.42578125" style="220" customWidth="1"/>
    <col min="11765" max="11765" width="20.28515625" style="220" bestFit="1" customWidth="1"/>
    <col min="11766" max="11768" width="20.28515625" style="220" customWidth="1"/>
    <col min="11769" max="11769" width="20.28515625" style="220" bestFit="1" customWidth="1"/>
    <col min="11770" max="11770" width="15.42578125" style="220" customWidth="1"/>
    <col min="11771" max="11771" width="20.7109375" style="220" bestFit="1" customWidth="1"/>
    <col min="11772" max="11774" width="20.7109375" style="220" customWidth="1"/>
    <col min="11775" max="11775" width="20.7109375" style="220" bestFit="1" customWidth="1"/>
    <col min="11776" max="11776" width="12.140625" style="220" customWidth="1"/>
    <col min="11777" max="12005" width="8.7109375" style="220" customWidth="1"/>
    <col min="12006" max="12006" width="7.28515625" style="220" customWidth="1"/>
    <col min="12007" max="12007" width="18.28515625" style="220" customWidth="1"/>
    <col min="12008" max="12008" width="23.42578125" style="220" bestFit="1" customWidth="1"/>
    <col min="12009" max="12010" width="10.140625" style="220" bestFit="1" customWidth="1"/>
    <col min="12011" max="12013" width="10.140625" style="220" customWidth="1"/>
    <col min="12014" max="12014" width="16.28515625" style="220" customWidth="1"/>
    <col min="12015" max="12015" width="20.28515625" style="220" bestFit="1" customWidth="1"/>
    <col min="12016" max="12018" width="20.28515625" style="220" customWidth="1"/>
    <col min="12019" max="12019" width="20.28515625" style="220" bestFit="1" customWidth="1"/>
    <col min="12020" max="12020" width="15.42578125" style="220" customWidth="1"/>
    <col min="12021" max="12021" width="20.28515625" style="220" bestFit="1" customWidth="1"/>
    <col min="12022" max="12024" width="20.28515625" style="220" customWidth="1"/>
    <col min="12025" max="12025" width="20.28515625" style="220" bestFit="1" customWidth="1"/>
    <col min="12026" max="12026" width="15.42578125" style="220" customWidth="1"/>
    <col min="12027" max="12027" width="20.7109375" style="220" bestFit="1" customWidth="1"/>
    <col min="12028" max="12030" width="20.7109375" style="220" customWidth="1"/>
    <col min="12031" max="12031" width="20.7109375" style="220" bestFit="1" customWidth="1"/>
    <col min="12032" max="12032" width="12.140625" style="220" customWidth="1"/>
    <col min="12033" max="12261" width="8.7109375" style="220" customWidth="1"/>
    <col min="12262" max="12262" width="7.28515625" style="220" customWidth="1"/>
    <col min="12263" max="12263" width="18.28515625" style="220" customWidth="1"/>
    <col min="12264" max="12264" width="23.42578125" style="220" bestFit="1" customWidth="1"/>
    <col min="12265" max="12266" width="10.140625" style="220" bestFit="1" customWidth="1"/>
    <col min="12267" max="12269" width="10.140625" style="220" customWidth="1"/>
    <col min="12270" max="12270" width="16.28515625" style="220" customWidth="1"/>
    <col min="12271" max="12271" width="20.28515625" style="220" bestFit="1" customWidth="1"/>
    <col min="12272" max="12274" width="20.28515625" style="220" customWidth="1"/>
    <col min="12275" max="12275" width="20.28515625" style="220" bestFit="1" customWidth="1"/>
    <col min="12276" max="12276" width="15.42578125" style="220" customWidth="1"/>
    <col min="12277" max="12277" width="20.28515625" style="220" bestFit="1" customWidth="1"/>
    <col min="12278" max="12280" width="20.28515625" style="220" customWidth="1"/>
    <col min="12281" max="12281" width="20.28515625" style="220" bestFit="1" customWidth="1"/>
    <col min="12282" max="12282" width="15.42578125" style="220" customWidth="1"/>
    <col min="12283" max="12283" width="20.7109375" style="220" bestFit="1" customWidth="1"/>
    <col min="12284" max="12286" width="20.7109375" style="220" customWidth="1"/>
    <col min="12287" max="12287" width="20.7109375" style="220" bestFit="1" customWidth="1"/>
    <col min="12288" max="12288" width="12.140625" style="220" customWidth="1"/>
    <col min="12289" max="12517" width="8.7109375" style="220" customWidth="1"/>
    <col min="12518" max="12518" width="7.28515625" style="220" customWidth="1"/>
    <col min="12519" max="12519" width="18.28515625" style="220" customWidth="1"/>
    <col min="12520" max="12520" width="23.42578125" style="220" bestFit="1" customWidth="1"/>
    <col min="12521" max="12522" width="10.140625" style="220" bestFit="1" customWidth="1"/>
    <col min="12523" max="12525" width="10.140625" style="220" customWidth="1"/>
    <col min="12526" max="12526" width="16.28515625" style="220" customWidth="1"/>
    <col min="12527" max="12527" width="20.28515625" style="220" bestFit="1" customWidth="1"/>
    <col min="12528" max="12530" width="20.28515625" style="220" customWidth="1"/>
    <col min="12531" max="12531" width="20.28515625" style="220" bestFit="1" customWidth="1"/>
    <col min="12532" max="12532" width="15.42578125" style="220" customWidth="1"/>
    <col min="12533" max="12533" width="20.28515625" style="220" bestFit="1" customWidth="1"/>
    <col min="12534" max="12536" width="20.28515625" style="220" customWidth="1"/>
    <col min="12537" max="12537" width="20.28515625" style="220" bestFit="1" customWidth="1"/>
    <col min="12538" max="12538" width="15.42578125" style="220" customWidth="1"/>
    <col min="12539" max="12539" width="20.7109375" style="220" bestFit="1" customWidth="1"/>
    <col min="12540" max="12542" width="20.7109375" style="220" customWidth="1"/>
    <col min="12543" max="12543" width="20.7109375" style="220" bestFit="1" customWidth="1"/>
    <col min="12544" max="12544" width="12.140625" style="220" customWidth="1"/>
    <col min="12545" max="12773" width="8.7109375" style="220" customWidth="1"/>
    <col min="12774" max="12774" width="7.28515625" style="220" customWidth="1"/>
    <col min="12775" max="12775" width="18.28515625" style="220" customWidth="1"/>
    <col min="12776" max="12776" width="23.42578125" style="220" bestFit="1" customWidth="1"/>
    <col min="12777" max="12778" width="10.140625" style="220" bestFit="1" customWidth="1"/>
    <col min="12779" max="12781" width="10.140625" style="220" customWidth="1"/>
    <col min="12782" max="12782" width="16.28515625" style="220" customWidth="1"/>
    <col min="12783" max="12783" width="20.28515625" style="220" bestFit="1" customWidth="1"/>
    <col min="12784" max="12786" width="20.28515625" style="220" customWidth="1"/>
    <col min="12787" max="12787" width="20.28515625" style="220" bestFit="1" customWidth="1"/>
    <col min="12788" max="12788" width="15.42578125" style="220" customWidth="1"/>
    <col min="12789" max="12789" width="20.28515625" style="220" bestFit="1" customWidth="1"/>
    <col min="12790" max="12792" width="20.28515625" style="220" customWidth="1"/>
    <col min="12793" max="12793" width="20.28515625" style="220" bestFit="1" customWidth="1"/>
    <col min="12794" max="12794" width="15.42578125" style="220" customWidth="1"/>
    <col min="12795" max="12795" width="20.7109375" style="220" bestFit="1" customWidth="1"/>
    <col min="12796" max="12798" width="20.7109375" style="220" customWidth="1"/>
    <col min="12799" max="12799" width="20.7109375" style="220" bestFit="1" customWidth="1"/>
    <col min="12800" max="12800" width="12.140625" style="220" customWidth="1"/>
    <col min="12801" max="13029" width="8.7109375" style="220" customWidth="1"/>
    <col min="13030" max="13030" width="7.28515625" style="220" customWidth="1"/>
    <col min="13031" max="13031" width="18.28515625" style="220" customWidth="1"/>
    <col min="13032" max="13032" width="23.42578125" style="220" bestFit="1" customWidth="1"/>
    <col min="13033" max="13034" width="10.140625" style="220" bestFit="1" customWidth="1"/>
    <col min="13035" max="13037" width="10.140625" style="220" customWidth="1"/>
    <col min="13038" max="13038" width="16.28515625" style="220" customWidth="1"/>
    <col min="13039" max="13039" width="20.28515625" style="220" bestFit="1" customWidth="1"/>
    <col min="13040" max="13042" width="20.28515625" style="220" customWidth="1"/>
    <col min="13043" max="13043" width="20.28515625" style="220" bestFit="1" customWidth="1"/>
    <col min="13044" max="13044" width="15.42578125" style="220" customWidth="1"/>
    <col min="13045" max="13045" width="20.28515625" style="220" bestFit="1" customWidth="1"/>
    <col min="13046" max="13048" width="20.28515625" style="220" customWidth="1"/>
    <col min="13049" max="13049" width="20.28515625" style="220" bestFit="1" customWidth="1"/>
    <col min="13050" max="13050" width="15.42578125" style="220" customWidth="1"/>
    <col min="13051" max="13051" width="20.7109375" style="220" bestFit="1" customWidth="1"/>
    <col min="13052" max="13054" width="20.7109375" style="220" customWidth="1"/>
    <col min="13055" max="13055" width="20.7109375" style="220" bestFit="1" customWidth="1"/>
    <col min="13056" max="13056" width="12.140625" style="220" customWidth="1"/>
    <col min="13057" max="13285" width="8.7109375" style="220" customWidth="1"/>
    <col min="13286" max="13286" width="7.28515625" style="220" customWidth="1"/>
    <col min="13287" max="13287" width="18.28515625" style="220" customWidth="1"/>
    <col min="13288" max="13288" width="23.42578125" style="220" bestFit="1" customWidth="1"/>
    <col min="13289" max="13290" width="10.140625" style="220" bestFit="1" customWidth="1"/>
    <col min="13291" max="13293" width="10.140625" style="220" customWidth="1"/>
    <col min="13294" max="13294" width="16.28515625" style="220" customWidth="1"/>
    <col min="13295" max="13295" width="20.28515625" style="220" bestFit="1" customWidth="1"/>
    <col min="13296" max="13298" width="20.28515625" style="220" customWidth="1"/>
    <col min="13299" max="13299" width="20.28515625" style="220" bestFit="1" customWidth="1"/>
    <col min="13300" max="13300" width="15.42578125" style="220" customWidth="1"/>
    <col min="13301" max="13301" width="20.28515625" style="220" bestFit="1" customWidth="1"/>
    <col min="13302" max="13304" width="20.28515625" style="220" customWidth="1"/>
    <col min="13305" max="13305" width="20.28515625" style="220" bestFit="1" customWidth="1"/>
    <col min="13306" max="13306" width="15.42578125" style="220" customWidth="1"/>
    <col min="13307" max="13307" width="20.7109375" style="220" bestFit="1" customWidth="1"/>
    <col min="13308" max="13310" width="20.7109375" style="220" customWidth="1"/>
    <col min="13311" max="13311" width="20.7109375" style="220" bestFit="1" customWidth="1"/>
    <col min="13312" max="13312" width="12.140625" style="220" customWidth="1"/>
    <col min="13313" max="13541" width="8.7109375" style="220" customWidth="1"/>
    <col min="13542" max="13542" width="7.28515625" style="220" customWidth="1"/>
    <col min="13543" max="13543" width="18.28515625" style="220" customWidth="1"/>
    <col min="13544" max="13544" width="23.42578125" style="220" bestFit="1" customWidth="1"/>
    <col min="13545" max="13546" width="10.140625" style="220" bestFit="1" customWidth="1"/>
    <col min="13547" max="13549" width="10.140625" style="220" customWidth="1"/>
    <col min="13550" max="13550" width="16.28515625" style="220" customWidth="1"/>
    <col min="13551" max="13551" width="20.28515625" style="220" bestFit="1" customWidth="1"/>
    <col min="13552" max="13554" width="20.28515625" style="220" customWidth="1"/>
    <col min="13555" max="13555" width="20.28515625" style="220" bestFit="1" customWidth="1"/>
    <col min="13556" max="13556" width="15.42578125" style="220" customWidth="1"/>
    <col min="13557" max="13557" width="20.28515625" style="220" bestFit="1" customWidth="1"/>
    <col min="13558" max="13560" width="20.28515625" style="220" customWidth="1"/>
    <col min="13561" max="13561" width="20.28515625" style="220" bestFit="1" customWidth="1"/>
    <col min="13562" max="13562" width="15.42578125" style="220" customWidth="1"/>
    <col min="13563" max="13563" width="20.7109375" style="220" bestFit="1" customWidth="1"/>
    <col min="13564" max="13566" width="20.7109375" style="220" customWidth="1"/>
    <col min="13567" max="13567" width="20.7109375" style="220" bestFit="1" customWidth="1"/>
    <col min="13568" max="13568" width="12.140625" style="220" customWidth="1"/>
    <col min="13569" max="13797" width="8.7109375" style="220" customWidth="1"/>
    <col min="13798" max="13798" width="7.28515625" style="220" customWidth="1"/>
    <col min="13799" max="13799" width="18.28515625" style="220" customWidth="1"/>
    <col min="13800" max="13800" width="23.42578125" style="220" bestFit="1" customWidth="1"/>
    <col min="13801" max="13802" width="10.140625" style="220" bestFit="1" customWidth="1"/>
    <col min="13803" max="13805" width="10.140625" style="220" customWidth="1"/>
    <col min="13806" max="13806" width="16.28515625" style="220" customWidth="1"/>
    <col min="13807" max="13807" width="20.28515625" style="220" bestFit="1" customWidth="1"/>
    <col min="13808" max="13810" width="20.28515625" style="220" customWidth="1"/>
    <col min="13811" max="13811" width="20.28515625" style="220" bestFit="1" customWidth="1"/>
    <col min="13812" max="13812" width="15.42578125" style="220" customWidth="1"/>
    <col min="13813" max="13813" width="20.28515625" style="220" bestFit="1" customWidth="1"/>
    <col min="13814" max="13816" width="20.28515625" style="220" customWidth="1"/>
    <col min="13817" max="13817" width="20.28515625" style="220" bestFit="1" customWidth="1"/>
    <col min="13818" max="13818" width="15.42578125" style="220" customWidth="1"/>
    <col min="13819" max="13819" width="20.7109375" style="220" bestFit="1" customWidth="1"/>
    <col min="13820" max="13822" width="20.7109375" style="220" customWidth="1"/>
    <col min="13823" max="13823" width="20.7109375" style="220" bestFit="1" customWidth="1"/>
    <col min="13824" max="13824" width="12.140625" style="220" customWidth="1"/>
    <col min="13825" max="14053" width="8.7109375" style="220" customWidth="1"/>
    <col min="14054" max="14054" width="7.28515625" style="220" customWidth="1"/>
    <col min="14055" max="14055" width="18.28515625" style="220" customWidth="1"/>
    <col min="14056" max="14056" width="23.42578125" style="220" bestFit="1" customWidth="1"/>
    <col min="14057" max="14058" width="10.140625" style="220" bestFit="1" customWidth="1"/>
    <col min="14059" max="14061" width="10.140625" style="220" customWidth="1"/>
    <col min="14062" max="14062" width="16.28515625" style="220" customWidth="1"/>
    <col min="14063" max="14063" width="20.28515625" style="220" bestFit="1" customWidth="1"/>
    <col min="14064" max="14066" width="20.28515625" style="220" customWidth="1"/>
    <col min="14067" max="14067" width="20.28515625" style="220" bestFit="1" customWidth="1"/>
    <col min="14068" max="14068" width="15.42578125" style="220" customWidth="1"/>
    <col min="14069" max="14069" width="20.28515625" style="220" bestFit="1" customWidth="1"/>
    <col min="14070" max="14072" width="20.28515625" style="220" customWidth="1"/>
    <col min="14073" max="14073" width="20.28515625" style="220" bestFit="1" customWidth="1"/>
    <col min="14074" max="14074" width="15.42578125" style="220" customWidth="1"/>
    <col min="14075" max="14075" width="20.7109375" style="220" bestFit="1" customWidth="1"/>
    <col min="14076" max="14078" width="20.7109375" style="220" customWidth="1"/>
    <col min="14079" max="14079" width="20.7109375" style="220" bestFit="1" customWidth="1"/>
    <col min="14080" max="14080" width="12.140625" style="220" customWidth="1"/>
    <col min="14081" max="14309" width="8.7109375" style="220" customWidth="1"/>
    <col min="14310" max="14310" width="7.28515625" style="220" customWidth="1"/>
    <col min="14311" max="14311" width="18.28515625" style="220" customWidth="1"/>
    <col min="14312" max="14312" width="23.42578125" style="220" bestFit="1" customWidth="1"/>
    <col min="14313" max="14314" width="10.140625" style="220" bestFit="1" customWidth="1"/>
    <col min="14315" max="14317" width="10.140625" style="220" customWidth="1"/>
    <col min="14318" max="14318" width="16.28515625" style="220" customWidth="1"/>
    <col min="14319" max="14319" width="20.28515625" style="220" bestFit="1" customWidth="1"/>
    <col min="14320" max="14322" width="20.28515625" style="220" customWidth="1"/>
    <col min="14323" max="14323" width="20.28515625" style="220" bestFit="1" customWidth="1"/>
    <col min="14324" max="14324" width="15.42578125" style="220" customWidth="1"/>
    <col min="14325" max="14325" width="20.28515625" style="220" bestFit="1" customWidth="1"/>
    <col min="14326" max="14328" width="20.28515625" style="220" customWidth="1"/>
    <col min="14329" max="14329" width="20.28515625" style="220" bestFit="1" customWidth="1"/>
    <col min="14330" max="14330" width="15.42578125" style="220" customWidth="1"/>
    <col min="14331" max="14331" width="20.7109375" style="220" bestFit="1" customWidth="1"/>
    <col min="14332" max="14334" width="20.7109375" style="220" customWidth="1"/>
    <col min="14335" max="14335" width="20.7109375" style="220" bestFit="1" customWidth="1"/>
    <col min="14336" max="14336" width="12.140625" style="220" customWidth="1"/>
    <col min="14337" max="14565" width="8.7109375" style="220" customWidth="1"/>
    <col min="14566" max="14566" width="7.28515625" style="220" customWidth="1"/>
    <col min="14567" max="14567" width="18.28515625" style="220" customWidth="1"/>
    <col min="14568" max="14568" width="23.42578125" style="220" bestFit="1" customWidth="1"/>
    <col min="14569" max="14570" width="10.140625" style="220" bestFit="1" customWidth="1"/>
    <col min="14571" max="14573" width="10.140625" style="220" customWidth="1"/>
    <col min="14574" max="14574" width="16.28515625" style="220" customWidth="1"/>
    <col min="14575" max="14575" width="20.28515625" style="220" bestFit="1" customWidth="1"/>
    <col min="14576" max="14578" width="20.28515625" style="220" customWidth="1"/>
    <col min="14579" max="14579" width="20.28515625" style="220" bestFit="1" customWidth="1"/>
    <col min="14580" max="14580" width="15.42578125" style="220" customWidth="1"/>
    <col min="14581" max="14581" width="20.28515625" style="220" bestFit="1" customWidth="1"/>
    <col min="14582" max="14584" width="20.28515625" style="220" customWidth="1"/>
    <col min="14585" max="14585" width="20.28515625" style="220" bestFit="1" customWidth="1"/>
    <col min="14586" max="14586" width="15.42578125" style="220" customWidth="1"/>
    <col min="14587" max="14587" width="20.7109375" style="220" bestFit="1" customWidth="1"/>
    <col min="14588" max="14590" width="20.7109375" style="220" customWidth="1"/>
    <col min="14591" max="14591" width="20.7109375" style="220" bestFit="1" customWidth="1"/>
    <col min="14592" max="14592" width="12.140625" style="220" customWidth="1"/>
    <col min="14593" max="14821" width="8.7109375" style="220" customWidth="1"/>
    <col min="14822" max="14822" width="7.28515625" style="220" customWidth="1"/>
    <col min="14823" max="14823" width="18.28515625" style="220" customWidth="1"/>
    <col min="14824" max="14824" width="23.42578125" style="220" bestFit="1" customWidth="1"/>
    <col min="14825" max="14826" width="10.140625" style="220" bestFit="1" customWidth="1"/>
    <col min="14827" max="14829" width="10.140625" style="220" customWidth="1"/>
    <col min="14830" max="14830" width="16.28515625" style="220" customWidth="1"/>
    <col min="14831" max="14831" width="20.28515625" style="220" bestFit="1" customWidth="1"/>
    <col min="14832" max="14834" width="20.28515625" style="220" customWidth="1"/>
    <col min="14835" max="14835" width="20.28515625" style="220" bestFit="1" customWidth="1"/>
    <col min="14836" max="14836" width="15.42578125" style="220" customWidth="1"/>
    <col min="14837" max="14837" width="20.28515625" style="220" bestFit="1" customWidth="1"/>
    <col min="14838" max="14840" width="20.28515625" style="220" customWidth="1"/>
    <col min="14841" max="14841" width="20.28515625" style="220" bestFit="1" customWidth="1"/>
    <col min="14842" max="14842" width="15.42578125" style="220" customWidth="1"/>
    <col min="14843" max="14843" width="20.7109375" style="220" bestFit="1" customWidth="1"/>
    <col min="14844" max="14846" width="20.7109375" style="220" customWidth="1"/>
    <col min="14847" max="14847" width="20.7109375" style="220" bestFit="1" customWidth="1"/>
    <col min="14848" max="14848" width="12.140625" style="220" customWidth="1"/>
    <col min="14849" max="15077" width="8.7109375" style="220" customWidth="1"/>
    <col min="15078" max="15078" width="7.28515625" style="220" customWidth="1"/>
    <col min="15079" max="15079" width="18.28515625" style="220" customWidth="1"/>
    <col min="15080" max="15080" width="23.42578125" style="220" bestFit="1" customWidth="1"/>
    <col min="15081" max="15082" width="10.140625" style="220" bestFit="1" customWidth="1"/>
    <col min="15083" max="15085" width="10.140625" style="220" customWidth="1"/>
    <col min="15086" max="15086" width="16.28515625" style="220" customWidth="1"/>
    <col min="15087" max="15087" width="20.28515625" style="220" bestFit="1" customWidth="1"/>
    <col min="15088" max="15090" width="20.28515625" style="220" customWidth="1"/>
    <col min="15091" max="15091" width="20.28515625" style="220" bestFit="1" customWidth="1"/>
    <col min="15092" max="15092" width="15.42578125" style="220" customWidth="1"/>
    <col min="15093" max="15093" width="20.28515625" style="220" bestFit="1" customWidth="1"/>
    <col min="15094" max="15096" width="20.28515625" style="220" customWidth="1"/>
    <col min="15097" max="15097" width="20.28515625" style="220" bestFit="1" customWidth="1"/>
    <col min="15098" max="15098" width="15.42578125" style="220" customWidth="1"/>
    <col min="15099" max="15099" width="20.7109375" style="220" bestFit="1" customWidth="1"/>
    <col min="15100" max="15102" width="20.7109375" style="220" customWidth="1"/>
    <col min="15103" max="15103" width="20.7109375" style="220" bestFit="1" customWidth="1"/>
    <col min="15104" max="15104" width="12.140625" style="220" customWidth="1"/>
    <col min="15105" max="15333" width="8.7109375" style="220" customWidth="1"/>
    <col min="15334" max="15334" width="7.28515625" style="220" customWidth="1"/>
    <col min="15335" max="15335" width="18.28515625" style="220" customWidth="1"/>
    <col min="15336" max="15336" width="23.42578125" style="220" bestFit="1" customWidth="1"/>
    <col min="15337" max="15338" width="10.140625" style="220" bestFit="1" customWidth="1"/>
    <col min="15339" max="15341" width="10.140625" style="220" customWidth="1"/>
    <col min="15342" max="15342" width="16.28515625" style="220" customWidth="1"/>
    <col min="15343" max="15343" width="20.28515625" style="220" bestFit="1" customWidth="1"/>
    <col min="15344" max="15346" width="20.28515625" style="220" customWidth="1"/>
    <col min="15347" max="15347" width="20.28515625" style="220" bestFit="1" customWidth="1"/>
    <col min="15348" max="15348" width="15.42578125" style="220" customWidth="1"/>
    <col min="15349" max="15349" width="20.28515625" style="220" bestFit="1" customWidth="1"/>
    <col min="15350" max="15352" width="20.28515625" style="220" customWidth="1"/>
    <col min="15353" max="15353" width="20.28515625" style="220" bestFit="1" customWidth="1"/>
    <col min="15354" max="15354" width="15.42578125" style="220" customWidth="1"/>
    <col min="15355" max="15355" width="20.7109375" style="220" bestFit="1" customWidth="1"/>
    <col min="15356" max="15358" width="20.7109375" style="220" customWidth="1"/>
    <col min="15359" max="15359" width="20.7109375" style="220" bestFit="1" customWidth="1"/>
    <col min="15360" max="15360" width="12.140625" style="220" customWidth="1"/>
    <col min="15361" max="15589" width="8.7109375" style="220" customWidth="1"/>
    <col min="15590" max="15590" width="7.28515625" style="220" customWidth="1"/>
    <col min="15591" max="15591" width="18.28515625" style="220" customWidth="1"/>
    <col min="15592" max="15592" width="23.42578125" style="220" bestFit="1" customWidth="1"/>
    <col min="15593" max="15594" width="10.140625" style="220" bestFit="1" customWidth="1"/>
    <col min="15595" max="15597" width="10.140625" style="220" customWidth="1"/>
    <col min="15598" max="15598" width="16.28515625" style="220" customWidth="1"/>
    <col min="15599" max="15599" width="20.28515625" style="220" bestFit="1" customWidth="1"/>
    <col min="15600" max="15602" width="20.28515625" style="220" customWidth="1"/>
    <col min="15603" max="15603" width="20.28515625" style="220" bestFit="1" customWidth="1"/>
    <col min="15604" max="15604" width="15.42578125" style="220" customWidth="1"/>
    <col min="15605" max="15605" width="20.28515625" style="220" bestFit="1" customWidth="1"/>
    <col min="15606" max="15608" width="20.28515625" style="220" customWidth="1"/>
    <col min="15609" max="15609" width="20.28515625" style="220" bestFit="1" customWidth="1"/>
    <col min="15610" max="15610" width="15.42578125" style="220" customWidth="1"/>
    <col min="15611" max="15611" width="20.7109375" style="220" bestFit="1" customWidth="1"/>
    <col min="15612" max="15614" width="20.7109375" style="220" customWidth="1"/>
    <col min="15615" max="15615" width="20.7109375" style="220" bestFit="1" customWidth="1"/>
    <col min="15616" max="15616" width="12.140625" style="220" customWidth="1"/>
    <col min="15617" max="15845" width="8.7109375" style="220" customWidth="1"/>
    <col min="15846" max="15846" width="7.28515625" style="220" customWidth="1"/>
    <col min="15847" max="15847" width="18.28515625" style="220" customWidth="1"/>
    <col min="15848" max="15848" width="23.42578125" style="220" bestFit="1" customWidth="1"/>
    <col min="15849" max="15850" width="10.140625" style="220" bestFit="1" customWidth="1"/>
    <col min="15851" max="15853" width="10.140625" style="220" customWidth="1"/>
    <col min="15854" max="15854" width="16.28515625" style="220" customWidth="1"/>
    <col min="15855" max="15855" width="20.28515625" style="220" bestFit="1" customWidth="1"/>
    <col min="15856" max="15858" width="20.28515625" style="220" customWidth="1"/>
    <col min="15859" max="15859" width="20.28515625" style="220" bestFit="1" customWidth="1"/>
    <col min="15860" max="15860" width="15.42578125" style="220" customWidth="1"/>
    <col min="15861" max="15861" width="20.28515625" style="220" bestFit="1" customWidth="1"/>
    <col min="15862" max="15864" width="20.28515625" style="220" customWidth="1"/>
    <col min="15865" max="15865" width="20.28515625" style="220" bestFit="1" customWidth="1"/>
    <col min="15866" max="15866" width="15.42578125" style="220" customWidth="1"/>
    <col min="15867" max="15867" width="20.7109375" style="220" bestFit="1" customWidth="1"/>
    <col min="15868" max="15870" width="20.7109375" style="220" customWidth="1"/>
    <col min="15871" max="15871" width="20.7109375" style="220" bestFit="1" customWidth="1"/>
    <col min="15872" max="15872" width="12.140625" style="220" customWidth="1"/>
    <col min="15873" max="16101" width="8.7109375" style="220" customWidth="1"/>
    <col min="16102" max="16102" width="7.28515625" style="220" customWidth="1"/>
    <col min="16103" max="16103" width="18.28515625" style="220" customWidth="1"/>
    <col min="16104" max="16104" width="23.42578125" style="220" bestFit="1" customWidth="1"/>
    <col min="16105" max="16106" width="10.140625" style="220" bestFit="1" customWidth="1"/>
    <col min="16107" max="16109" width="10.140625" style="220" customWidth="1"/>
    <col min="16110" max="16110" width="16.28515625" style="220" customWidth="1"/>
    <col min="16111" max="16111" width="20.28515625" style="220" bestFit="1" customWidth="1"/>
    <col min="16112" max="16114" width="20.28515625" style="220" customWidth="1"/>
    <col min="16115" max="16115" width="20.28515625" style="220" bestFit="1" customWidth="1"/>
    <col min="16116" max="16116" width="15.42578125" style="220" customWidth="1"/>
    <col min="16117" max="16117" width="20.28515625" style="220" bestFit="1" customWidth="1"/>
    <col min="16118" max="16120" width="20.28515625" style="220" customWidth="1"/>
    <col min="16121" max="16121" width="20.28515625" style="220" bestFit="1" customWidth="1"/>
    <col min="16122" max="16122" width="15.42578125" style="220" customWidth="1"/>
    <col min="16123" max="16123" width="20.7109375" style="220" bestFit="1" customWidth="1"/>
    <col min="16124" max="16126" width="20.7109375" style="220" customWidth="1"/>
    <col min="16127" max="16127" width="20.7109375" style="220" bestFit="1" customWidth="1"/>
    <col min="16128" max="16128" width="12.140625" style="220" customWidth="1"/>
    <col min="16129" max="16384" width="8.7109375" style="220" customWidth="1"/>
  </cols>
  <sheetData>
    <row r="1" spans="1:17" s="194" customFormat="1"/>
    <row r="2" spans="1:17" s="194" customFormat="1" ht="13.5" thickBot="1"/>
    <row r="3" spans="1:17" s="194" customFormat="1" ht="13.5" thickBot="1">
      <c r="A3" s="338" t="s">
        <v>115</v>
      </c>
      <c r="B3" s="340" t="s">
        <v>314</v>
      </c>
      <c r="C3" s="342" t="s">
        <v>178</v>
      </c>
      <c r="D3" s="388" t="s">
        <v>343</v>
      </c>
      <c r="E3" s="389"/>
      <c r="F3" s="390"/>
      <c r="G3" s="391" t="s">
        <v>344</v>
      </c>
      <c r="H3" s="385"/>
      <c r="I3" s="385"/>
      <c r="J3" s="385"/>
      <c r="K3" s="391" t="s">
        <v>345</v>
      </c>
      <c r="L3" s="385"/>
      <c r="M3" s="386"/>
      <c r="N3" s="333" t="s">
        <v>346</v>
      </c>
      <c r="O3" s="333"/>
      <c r="P3" s="333"/>
      <c r="Q3" s="334"/>
    </row>
    <row r="4" spans="1:17" s="194" customFormat="1" ht="46.5" customHeight="1" thickBot="1">
      <c r="A4" s="339"/>
      <c r="B4" s="341"/>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357</v>
      </c>
      <c r="C5" s="200"/>
      <c r="D5" s="201"/>
      <c r="E5" s="202"/>
      <c r="F5" s="202"/>
      <c r="G5" s="202"/>
      <c r="H5" s="203"/>
      <c r="I5" s="204"/>
      <c r="J5" s="200"/>
      <c r="K5" s="205"/>
      <c r="L5" s="206"/>
      <c r="M5" s="206"/>
      <c r="N5" s="206"/>
      <c r="O5" s="206"/>
      <c r="P5" s="206"/>
      <c r="Q5" s="206"/>
    </row>
    <row r="6" spans="1:17" s="194" customFormat="1">
      <c r="A6" s="198">
        <v>2</v>
      </c>
      <c r="B6" s="199" t="s">
        <v>358</v>
      </c>
      <c r="C6" s="200"/>
      <c r="D6" s="201"/>
      <c r="E6" s="202"/>
      <c r="F6" s="202"/>
      <c r="G6" s="202"/>
      <c r="H6" s="203"/>
      <c r="I6" s="204"/>
      <c r="J6" s="200"/>
      <c r="K6" s="205"/>
      <c r="L6" s="206"/>
      <c r="M6" s="206"/>
      <c r="N6" s="206"/>
      <c r="O6" s="206"/>
      <c r="P6" s="206"/>
      <c r="Q6" s="206"/>
    </row>
    <row r="7" spans="1:17" s="194" customFormat="1">
      <c r="A7" s="198">
        <v>3</v>
      </c>
      <c r="B7" s="199" t="s">
        <v>305</v>
      </c>
      <c r="C7" s="200"/>
      <c r="D7" s="201"/>
      <c r="E7" s="202"/>
      <c r="F7" s="202"/>
      <c r="G7" s="202"/>
      <c r="H7" s="203"/>
      <c r="I7" s="204"/>
      <c r="J7" s="200"/>
      <c r="K7" s="205"/>
      <c r="L7" s="206"/>
      <c r="M7" s="206"/>
      <c r="N7" s="206"/>
      <c r="O7" s="206"/>
      <c r="P7" s="206"/>
      <c r="Q7" s="206"/>
    </row>
    <row r="8" spans="1:17" s="194" customFormat="1">
      <c r="A8" s="198">
        <v>4</v>
      </c>
      <c r="B8" s="199" t="s">
        <v>306</v>
      </c>
      <c r="C8" s="200"/>
      <c r="D8" s="201"/>
      <c r="E8" s="202"/>
      <c r="F8" s="202"/>
      <c r="G8" s="202"/>
      <c r="H8" s="203"/>
      <c r="I8" s="204"/>
      <c r="J8" s="200"/>
      <c r="K8" s="205"/>
      <c r="L8" s="206"/>
      <c r="M8" s="206"/>
      <c r="N8" s="206"/>
      <c r="O8" s="206"/>
      <c r="P8" s="206"/>
      <c r="Q8" s="206"/>
    </row>
    <row r="9" spans="1:17" s="194" customFormat="1">
      <c r="A9" s="198">
        <v>5</v>
      </c>
      <c r="B9" s="199" t="s">
        <v>359</v>
      </c>
      <c r="C9" s="200"/>
      <c r="D9" s="201"/>
      <c r="E9" s="202"/>
      <c r="F9" s="202"/>
      <c r="G9" s="202"/>
      <c r="H9" s="203"/>
      <c r="I9" s="204"/>
      <c r="J9" s="200"/>
      <c r="K9" s="205"/>
      <c r="L9" s="206"/>
      <c r="M9" s="206"/>
      <c r="N9" s="206"/>
      <c r="O9" s="206"/>
      <c r="P9" s="206"/>
      <c r="Q9" s="206"/>
    </row>
    <row r="10" spans="1:17" s="194" customFormat="1">
      <c r="A10" s="198">
        <v>6</v>
      </c>
      <c r="B10" s="199" t="s">
        <v>360</v>
      </c>
      <c r="C10" s="200"/>
      <c r="D10" s="201"/>
      <c r="E10" s="202"/>
      <c r="F10" s="202"/>
      <c r="G10" s="202"/>
      <c r="H10" s="203"/>
      <c r="I10" s="204"/>
      <c r="J10" s="200"/>
      <c r="K10" s="205"/>
      <c r="L10" s="206"/>
      <c r="M10" s="206"/>
      <c r="N10" s="206"/>
      <c r="O10" s="206"/>
      <c r="P10" s="206"/>
      <c r="Q10" s="206"/>
    </row>
    <row r="11" spans="1:17" s="194" customFormat="1">
      <c r="A11" s="198">
        <v>7</v>
      </c>
      <c r="B11" s="199" t="s">
        <v>307</v>
      </c>
      <c r="C11" s="200"/>
      <c r="D11" s="201"/>
      <c r="E11" s="202"/>
      <c r="F11" s="202"/>
      <c r="G11" s="202"/>
      <c r="H11" s="203"/>
      <c r="I11" s="204"/>
      <c r="J11" s="200"/>
      <c r="K11" s="205"/>
      <c r="L11" s="206"/>
      <c r="M11" s="206"/>
      <c r="N11" s="206"/>
      <c r="O11" s="206"/>
      <c r="P11" s="206"/>
      <c r="Q11" s="206"/>
    </row>
    <row r="12" spans="1:17" s="194" customFormat="1">
      <c r="A12" s="198">
        <v>8</v>
      </c>
      <c r="B12" s="209" t="s">
        <v>308</v>
      </c>
      <c r="C12" s="200"/>
      <c r="D12" s="201"/>
      <c r="E12" s="202"/>
      <c r="F12" s="202"/>
      <c r="G12" s="202"/>
      <c r="H12" s="203"/>
      <c r="I12" s="204"/>
      <c r="J12" s="200"/>
      <c r="K12" s="205"/>
      <c r="L12" s="206"/>
      <c r="M12" s="206"/>
      <c r="N12" s="206"/>
      <c r="O12" s="206"/>
      <c r="P12" s="206"/>
      <c r="Q12" s="206"/>
    </row>
    <row r="13" spans="1:17" s="194" customFormat="1">
      <c r="A13" s="198">
        <v>9</v>
      </c>
      <c r="B13" s="210" t="s">
        <v>361</v>
      </c>
      <c r="C13" s="208"/>
      <c r="D13" s="201"/>
      <c r="E13" s="202"/>
      <c r="F13" s="202"/>
      <c r="G13" s="202"/>
      <c r="H13" s="203"/>
      <c r="I13" s="204"/>
      <c r="J13" s="200"/>
      <c r="K13" s="205"/>
      <c r="L13" s="206"/>
      <c r="M13" s="206"/>
      <c r="N13" s="206"/>
      <c r="O13" s="206"/>
      <c r="P13" s="206"/>
      <c r="Q13" s="206"/>
    </row>
    <row r="14" spans="1:17" s="194" customFormat="1">
      <c r="A14" s="198">
        <v>10</v>
      </c>
      <c r="B14" s="210" t="s">
        <v>363</v>
      </c>
      <c r="C14" s="208"/>
      <c r="D14" s="201"/>
      <c r="E14" s="202"/>
      <c r="F14" s="202"/>
      <c r="G14" s="202"/>
      <c r="H14" s="203"/>
      <c r="I14" s="204"/>
      <c r="J14" s="200"/>
      <c r="K14" s="205"/>
      <c r="L14" s="206"/>
      <c r="M14" s="206"/>
      <c r="N14" s="206"/>
      <c r="O14" s="206"/>
      <c r="P14" s="206"/>
      <c r="Q14" s="206"/>
    </row>
    <row r="15" spans="1:17" s="194" customFormat="1">
      <c r="A15" s="198">
        <v>11</v>
      </c>
      <c r="B15" s="199" t="s">
        <v>362</v>
      </c>
      <c r="C15" s="208"/>
      <c r="D15" s="201"/>
      <c r="E15" s="202"/>
      <c r="F15" s="202"/>
      <c r="G15" s="202"/>
      <c r="H15" s="203"/>
      <c r="I15" s="204"/>
      <c r="J15" s="200"/>
      <c r="K15" s="205"/>
      <c r="L15" s="206"/>
      <c r="M15" s="206"/>
      <c r="N15" s="206"/>
      <c r="O15" s="206"/>
      <c r="P15" s="206"/>
      <c r="Q15" s="206"/>
    </row>
    <row r="16" spans="1:17" s="194" customFormat="1">
      <c r="A16" s="198">
        <v>12</v>
      </c>
      <c r="B16" s="199" t="s">
        <v>356</v>
      </c>
      <c r="C16" s="208"/>
      <c r="D16" s="201"/>
      <c r="E16" s="202"/>
      <c r="F16" s="202"/>
      <c r="G16" s="202"/>
      <c r="H16" s="203"/>
      <c r="I16" s="204"/>
      <c r="J16" s="200"/>
      <c r="K16" s="205"/>
      <c r="L16" s="206"/>
      <c r="M16" s="206"/>
      <c r="N16" s="206"/>
      <c r="O16" s="206"/>
      <c r="P16" s="206"/>
      <c r="Q16" s="206"/>
    </row>
    <row r="17" spans="1:17" s="194" customFormat="1">
      <c r="A17" s="198">
        <v>13</v>
      </c>
      <c r="B17" s="199" t="s">
        <v>309</v>
      </c>
      <c r="C17" s="208"/>
      <c r="D17" s="201"/>
      <c r="E17" s="202"/>
      <c r="F17" s="202"/>
      <c r="G17" s="202"/>
      <c r="H17" s="203"/>
      <c r="I17" s="204"/>
      <c r="J17" s="200"/>
      <c r="K17" s="205"/>
      <c r="L17" s="206"/>
      <c r="M17" s="206"/>
      <c r="N17" s="206"/>
      <c r="O17" s="206"/>
      <c r="P17" s="206"/>
      <c r="Q17" s="206"/>
    </row>
    <row r="18" spans="1:17" s="194" customFormat="1">
      <c r="A18" s="198">
        <v>14</v>
      </c>
      <c r="B18" s="194" t="s">
        <v>310</v>
      </c>
      <c r="C18" s="208"/>
      <c r="D18" s="201"/>
      <c r="E18" s="202"/>
      <c r="F18" s="202"/>
      <c r="G18" s="202"/>
      <c r="H18" s="203"/>
      <c r="I18" s="204"/>
      <c r="J18" s="200"/>
      <c r="K18" s="205"/>
      <c r="L18" s="206"/>
      <c r="M18" s="206"/>
      <c r="N18" s="206"/>
      <c r="O18" s="206"/>
      <c r="P18" s="206"/>
      <c r="Q18" s="206"/>
    </row>
    <row r="19" spans="1:17" s="194" customFormat="1">
      <c r="A19" s="198">
        <v>15</v>
      </c>
      <c r="B19" s="199" t="s">
        <v>311</v>
      </c>
      <c r="C19" s="208"/>
      <c r="D19" s="201"/>
      <c r="E19" s="202"/>
      <c r="F19" s="202"/>
      <c r="G19" s="202"/>
      <c r="H19" s="203"/>
      <c r="I19" s="204"/>
      <c r="J19" s="200"/>
      <c r="K19" s="205"/>
      <c r="L19" s="206"/>
      <c r="M19" s="206"/>
      <c r="N19" s="206"/>
      <c r="O19" s="206"/>
      <c r="P19" s="206"/>
      <c r="Q19" s="206"/>
    </row>
    <row r="20" spans="1:17" s="194" customFormat="1">
      <c r="A20" s="198">
        <v>16</v>
      </c>
      <c r="B20" s="199" t="s">
        <v>312</v>
      </c>
      <c r="C20" s="208"/>
      <c r="D20" s="201"/>
      <c r="E20" s="202"/>
      <c r="F20" s="202"/>
      <c r="G20" s="202"/>
      <c r="H20" s="203"/>
      <c r="I20" s="204"/>
      <c r="J20" s="200"/>
      <c r="K20" s="205"/>
      <c r="L20" s="206"/>
      <c r="M20" s="206"/>
      <c r="N20" s="206"/>
      <c r="O20" s="206"/>
      <c r="P20" s="206"/>
      <c r="Q20" s="206"/>
    </row>
    <row r="21" spans="1:17" s="194" customFormat="1">
      <c r="A21" s="198">
        <v>17</v>
      </c>
      <c r="B21" s="199" t="s">
        <v>313</v>
      </c>
      <c r="C21" s="208"/>
      <c r="D21" s="201"/>
      <c r="E21" s="202"/>
      <c r="F21" s="202"/>
      <c r="G21" s="202"/>
      <c r="H21" s="203"/>
      <c r="I21" s="204"/>
      <c r="J21" s="200"/>
      <c r="K21" s="205"/>
      <c r="L21" s="206"/>
      <c r="M21" s="206"/>
      <c r="N21" s="206"/>
      <c r="O21" s="206"/>
      <c r="P21" s="206"/>
      <c r="Q21" s="206"/>
    </row>
    <row r="22" spans="1:17" s="219" customFormat="1" ht="15" customHeight="1" thickBot="1">
      <c r="A22" s="344" t="s">
        <v>5</v>
      </c>
      <c r="B22" s="345"/>
      <c r="C22" s="346"/>
      <c r="D22" s="261"/>
      <c r="E22" s="262"/>
      <c r="F22" s="262"/>
      <c r="G22" s="262"/>
      <c r="H22" s="263"/>
      <c r="I22" s="264"/>
      <c r="J22" s="265"/>
      <c r="K22" s="266"/>
      <c r="L22" s="267"/>
      <c r="M22" s="267"/>
      <c r="N22" s="267"/>
      <c r="O22" s="268"/>
      <c r="P22" s="268"/>
      <c r="Q22" s="268"/>
    </row>
  </sheetData>
  <mergeCells count="8">
    <mergeCell ref="A22:C22"/>
    <mergeCell ref="A3:A4"/>
    <mergeCell ref="B3:B4"/>
    <mergeCell ref="C3:C4"/>
    <mergeCell ref="D3:F3"/>
    <mergeCell ref="G3:J3"/>
    <mergeCell ref="K3:M3"/>
    <mergeCell ref="N3:Q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8"/>
  <sheetViews>
    <sheetView workbookViewId="0">
      <selection activeCell="D3" sqref="D3:Q4"/>
    </sheetView>
  </sheetViews>
  <sheetFormatPr defaultColWidth="11.5703125" defaultRowHeight="12.75"/>
  <cols>
    <col min="1" max="1" width="7.28515625" style="220" customWidth="1"/>
    <col min="2" max="2" width="84.28515625" style="220" bestFit="1" customWidth="1"/>
    <col min="3" max="3" width="23.5703125" style="220" customWidth="1"/>
    <col min="4" max="8" width="21.85546875" style="220" customWidth="1"/>
    <col min="9" max="17" width="26.7109375" style="220" customWidth="1"/>
    <col min="18" max="234" width="8.7109375" style="220" customWidth="1"/>
    <col min="235" max="235" width="7.28515625" style="220" customWidth="1"/>
    <col min="236" max="236" width="18.28515625" style="220" customWidth="1"/>
    <col min="237" max="237" width="23.42578125" style="220" bestFit="1" customWidth="1"/>
    <col min="238" max="239" width="10.140625" style="220" bestFit="1" customWidth="1"/>
    <col min="240" max="242" width="10.140625" style="220" customWidth="1"/>
    <col min="243" max="243" width="16.28515625" style="220" customWidth="1"/>
    <col min="244" max="244" width="20.28515625" style="220" bestFit="1" customWidth="1"/>
    <col min="245" max="247" width="20.28515625" style="220" customWidth="1"/>
    <col min="248" max="248" width="20.28515625" style="220" bestFit="1" customWidth="1"/>
    <col min="249" max="249" width="15.42578125" style="220" customWidth="1"/>
    <col min="250" max="250" width="20.28515625" style="220" bestFit="1" customWidth="1"/>
    <col min="251" max="253" width="20.28515625" style="220" customWidth="1"/>
    <col min="254" max="254" width="20.28515625" style="220" bestFit="1" customWidth="1"/>
    <col min="255" max="255" width="15.42578125" style="220" customWidth="1"/>
    <col min="256" max="256" width="20.7109375" style="220" bestFit="1" customWidth="1"/>
    <col min="257" max="259" width="20.7109375" style="220" customWidth="1"/>
    <col min="260" max="260" width="20.7109375" style="220" bestFit="1" customWidth="1"/>
    <col min="261" max="261" width="12.140625" style="220" customWidth="1"/>
    <col min="262" max="490" width="8.7109375" style="220" customWidth="1"/>
    <col min="491" max="491" width="7.28515625" style="220" customWidth="1"/>
    <col min="492" max="492" width="18.28515625" style="220" customWidth="1"/>
    <col min="493" max="493" width="23.42578125" style="220" bestFit="1" customWidth="1"/>
    <col min="494" max="495" width="10.140625" style="220" bestFit="1" customWidth="1"/>
    <col min="496" max="498" width="10.140625" style="220" customWidth="1"/>
    <col min="499" max="499" width="16.28515625" style="220" customWidth="1"/>
    <col min="500" max="500" width="20.28515625" style="220" bestFit="1" customWidth="1"/>
    <col min="501" max="503" width="20.28515625" style="220" customWidth="1"/>
    <col min="504" max="504" width="20.28515625" style="220" bestFit="1" customWidth="1"/>
    <col min="505" max="505" width="15.42578125" style="220" customWidth="1"/>
    <col min="506" max="506" width="20.28515625" style="220" bestFit="1" customWidth="1"/>
    <col min="507" max="509" width="20.28515625" style="220" customWidth="1"/>
    <col min="510" max="510" width="20.28515625" style="220" bestFit="1" customWidth="1"/>
    <col min="511" max="511" width="15.42578125" style="220" customWidth="1"/>
    <col min="512" max="512" width="20.7109375" style="220" bestFit="1" customWidth="1"/>
    <col min="513" max="515" width="20.7109375" style="220" customWidth="1"/>
    <col min="516" max="516" width="20.7109375" style="220" bestFit="1" customWidth="1"/>
    <col min="517" max="517" width="12.140625" style="220" customWidth="1"/>
    <col min="518" max="746" width="8.7109375" style="220" customWidth="1"/>
    <col min="747" max="747" width="7.28515625" style="220" customWidth="1"/>
    <col min="748" max="748" width="18.28515625" style="220" customWidth="1"/>
    <col min="749" max="749" width="23.42578125" style="220" bestFit="1" customWidth="1"/>
    <col min="750" max="751" width="10.140625" style="220" bestFit="1" customWidth="1"/>
    <col min="752" max="754" width="10.140625" style="220" customWidth="1"/>
    <col min="755" max="755" width="16.28515625" style="220" customWidth="1"/>
    <col min="756" max="756" width="20.28515625" style="220" bestFit="1" customWidth="1"/>
    <col min="757" max="759" width="20.28515625" style="220" customWidth="1"/>
    <col min="760" max="760" width="20.28515625" style="220" bestFit="1" customWidth="1"/>
    <col min="761" max="761" width="15.42578125" style="220" customWidth="1"/>
    <col min="762" max="762" width="20.28515625" style="220" bestFit="1" customWidth="1"/>
    <col min="763" max="765" width="20.28515625" style="220" customWidth="1"/>
    <col min="766" max="766" width="20.28515625" style="220" bestFit="1" customWidth="1"/>
    <col min="767" max="767" width="15.42578125" style="220" customWidth="1"/>
    <col min="768" max="768" width="20.7109375" style="220" bestFit="1" customWidth="1"/>
    <col min="769" max="771" width="20.7109375" style="220" customWidth="1"/>
    <col min="772" max="772" width="20.7109375" style="220" bestFit="1" customWidth="1"/>
    <col min="773" max="773" width="12.140625" style="220" customWidth="1"/>
    <col min="774" max="1002" width="8.7109375" style="220" customWidth="1"/>
    <col min="1003" max="1003" width="7.28515625" style="220" customWidth="1"/>
    <col min="1004" max="1004" width="18.28515625" style="220" customWidth="1"/>
    <col min="1005" max="1005" width="23.42578125" style="220" bestFit="1" customWidth="1"/>
    <col min="1006" max="1007" width="10.140625" style="220" bestFit="1" customWidth="1"/>
    <col min="1008" max="1010" width="10.140625" style="220" customWidth="1"/>
    <col min="1011" max="1011" width="16.28515625" style="220" customWidth="1"/>
    <col min="1012" max="1012" width="20.28515625" style="220" bestFit="1" customWidth="1"/>
    <col min="1013" max="1015" width="20.28515625" style="220" customWidth="1"/>
    <col min="1016" max="1016" width="20.28515625" style="220" bestFit="1" customWidth="1"/>
    <col min="1017" max="1017" width="15.42578125" style="220" customWidth="1"/>
    <col min="1018" max="1018" width="20.28515625" style="220" bestFit="1" customWidth="1"/>
    <col min="1019" max="1021" width="20.28515625" style="220" customWidth="1"/>
    <col min="1022" max="1022" width="20.28515625" style="220" bestFit="1" customWidth="1"/>
    <col min="1023" max="1023" width="15.42578125" style="220" customWidth="1"/>
    <col min="1024" max="1024" width="20.7109375" style="220" bestFit="1" customWidth="1"/>
    <col min="1025" max="1027" width="20.7109375" style="220" customWidth="1"/>
    <col min="1028" max="1028" width="20.7109375" style="220" bestFit="1" customWidth="1"/>
    <col min="1029" max="1029" width="12.140625" style="220" customWidth="1"/>
    <col min="1030" max="1258" width="8.7109375" style="220" customWidth="1"/>
    <col min="1259" max="1259" width="7.28515625" style="220" customWidth="1"/>
    <col min="1260" max="1260" width="18.28515625" style="220" customWidth="1"/>
    <col min="1261" max="1261" width="23.42578125" style="220" bestFit="1" customWidth="1"/>
    <col min="1262" max="1263" width="10.140625" style="220" bestFit="1" customWidth="1"/>
    <col min="1264" max="1266" width="10.140625" style="220" customWidth="1"/>
    <col min="1267" max="1267" width="16.28515625" style="220" customWidth="1"/>
    <col min="1268" max="1268" width="20.28515625" style="220" bestFit="1" customWidth="1"/>
    <col min="1269" max="1271" width="20.28515625" style="220" customWidth="1"/>
    <col min="1272" max="1272" width="20.28515625" style="220" bestFit="1" customWidth="1"/>
    <col min="1273" max="1273" width="15.42578125" style="220" customWidth="1"/>
    <col min="1274" max="1274" width="20.28515625" style="220" bestFit="1" customWidth="1"/>
    <col min="1275" max="1277" width="20.28515625" style="220" customWidth="1"/>
    <col min="1278" max="1278" width="20.28515625" style="220" bestFit="1" customWidth="1"/>
    <col min="1279" max="1279" width="15.42578125" style="220" customWidth="1"/>
    <col min="1280" max="1280" width="20.7109375" style="220" bestFit="1" customWidth="1"/>
    <col min="1281" max="1283" width="20.7109375" style="220" customWidth="1"/>
    <col min="1284" max="1284" width="20.7109375" style="220" bestFit="1" customWidth="1"/>
    <col min="1285" max="1285" width="12.140625" style="220" customWidth="1"/>
    <col min="1286" max="1514" width="8.7109375" style="220" customWidth="1"/>
    <col min="1515" max="1515" width="7.28515625" style="220" customWidth="1"/>
    <col min="1516" max="1516" width="18.28515625" style="220" customWidth="1"/>
    <col min="1517" max="1517" width="23.42578125" style="220" bestFit="1" customWidth="1"/>
    <col min="1518" max="1519" width="10.140625" style="220" bestFit="1" customWidth="1"/>
    <col min="1520" max="1522" width="10.140625" style="220" customWidth="1"/>
    <col min="1523" max="1523" width="16.28515625" style="220" customWidth="1"/>
    <col min="1524" max="1524" width="20.28515625" style="220" bestFit="1" customWidth="1"/>
    <col min="1525" max="1527" width="20.28515625" style="220" customWidth="1"/>
    <col min="1528" max="1528" width="20.28515625" style="220" bestFit="1" customWidth="1"/>
    <col min="1529" max="1529" width="15.42578125" style="220" customWidth="1"/>
    <col min="1530" max="1530" width="20.28515625" style="220" bestFit="1" customWidth="1"/>
    <col min="1531" max="1533" width="20.28515625" style="220" customWidth="1"/>
    <col min="1534" max="1534" width="20.28515625" style="220" bestFit="1" customWidth="1"/>
    <col min="1535" max="1535" width="15.42578125" style="220" customWidth="1"/>
    <col min="1536" max="1536" width="20.7109375" style="220" bestFit="1" customWidth="1"/>
    <col min="1537" max="1539" width="20.7109375" style="220" customWidth="1"/>
    <col min="1540" max="1540" width="20.7109375" style="220" bestFit="1" customWidth="1"/>
    <col min="1541" max="1541" width="12.140625" style="220" customWidth="1"/>
    <col min="1542" max="1770" width="8.7109375" style="220" customWidth="1"/>
    <col min="1771" max="1771" width="7.28515625" style="220" customWidth="1"/>
    <col min="1772" max="1772" width="18.28515625" style="220" customWidth="1"/>
    <col min="1773" max="1773" width="23.42578125" style="220" bestFit="1" customWidth="1"/>
    <col min="1774" max="1775" width="10.140625" style="220" bestFit="1" customWidth="1"/>
    <col min="1776" max="1778" width="10.140625" style="220" customWidth="1"/>
    <col min="1779" max="1779" width="16.28515625" style="220" customWidth="1"/>
    <col min="1780" max="1780" width="20.28515625" style="220" bestFit="1" customWidth="1"/>
    <col min="1781" max="1783" width="20.28515625" style="220" customWidth="1"/>
    <col min="1784" max="1784" width="20.28515625" style="220" bestFit="1" customWidth="1"/>
    <col min="1785" max="1785" width="15.42578125" style="220" customWidth="1"/>
    <col min="1786" max="1786" width="20.28515625" style="220" bestFit="1" customWidth="1"/>
    <col min="1787" max="1789" width="20.28515625" style="220" customWidth="1"/>
    <col min="1790" max="1790" width="20.28515625" style="220" bestFit="1" customWidth="1"/>
    <col min="1791" max="1791" width="15.42578125" style="220" customWidth="1"/>
    <col min="1792" max="1792" width="20.7109375" style="220" bestFit="1" customWidth="1"/>
    <col min="1793" max="1795" width="20.7109375" style="220" customWidth="1"/>
    <col min="1796" max="1796" width="20.7109375" style="220" bestFit="1" customWidth="1"/>
    <col min="1797" max="1797" width="12.140625" style="220" customWidth="1"/>
    <col min="1798" max="2026" width="8.7109375" style="220" customWidth="1"/>
    <col min="2027" max="2027" width="7.28515625" style="220" customWidth="1"/>
    <col min="2028" max="2028" width="18.28515625" style="220" customWidth="1"/>
    <col min="2029" max="2029" width="23.42578125" style="220" bestFit="1" customWidth="1"/>
    <col min="2030" max="2031" width="10.140625" style="220" bestFit="1" customWidth="1"/>
    <col min="2032" max="2034" width="10.140625" style="220" customWidth="1"/>
    <col min="2035" max="2035" width="16.28515625" style="220" customWidth="1"/>
    <col min="2036" max="2036" width="20.28515625" style="220" bestFit="1" customWidth="1"/>
    <col min="2037" max="2039" width="20.28515625" style="220" customWidth="1"/>
    <col min="2040" max="2040" width="20.28515625" style="220" bestFit="1" customWidth="1"/>
    <col min="2041" max="2041" width="15.42578125" style="220" customWidth="1"/>
    <col min="2042" max="2042" width="20.28515625" style="220" bestFit="1" customWidth="1"/>
    <col min="2043" max="2045" width="20.28515625" style="220" customWidth="1"/>
    <col min="2046" max="2046" width="20.28515625" style="220" bestFit="1" customWidth="1"/>
    <col min="2047" max="2047" width="15.42578125" style="220" customWidth="1"/>
    <col min="2048" max="2048" width="20.7109375" style="220" bestFit="1" customWidth="1"/>
    <col min="2049" max="2051" width="20.7109375" style="220" customWidth="1"/>
    <col min="2052" max="2052" width="20.7109375" style="220" bestFit="1" customWidth="1"/>
    <col min="2053" max="2053" width="12.140625" style="220" customWidth="1"/>
    <col min="2054" max="2282" width="8.7109375" style="220" customWidth="1"/>
    <col min="2283" max="2283" width="7.28515625" style="220" customWidth="1"/>
    <col min="2284" max="2284" width="18.28515625" style="220" customWidth="1"/>
    <col min="2285" max="2285" width="23.42578125" style="220" bestFit="1" customWidth="1"/>
    <col min="2286" max="2287" width="10.140625" style="220" bestFit="1" customWidth="1"/>
    <col min="2288" max="2290" width="10.140625" style="220" customWidth="1"/>
    <col min="2291" max="2291" width="16.28515625" style="220" customWidth="1"/>
    <col min="2292" max="2292" width="20.28515625" style="220" bestFit="1" customWidth="1"/>
    <col min="2293" max="2295" width="20.28515625" style="220" customWidth="1"/>
    <col min="2296" max="2296" width="20.28515625" style="220" bestFit="1" customWidth="1"/>
    <col min="2297" max="2297" width="15.42578125" style="220" customWidth="1"/>
    <col min="2298" max="2298" width="20.28515625" style="220" bestFit="1" customWidth="1"/>
    <col min="2299" max="2301" width="20.28515625" style="220" customWidth="1"/>
    <col min="2302" max="2302" width="20.28515625" style="220" bestFit="1" customWidth="1"/>
    <col min="2303" max="2303" width="15.42578125" style="220" customWidth="1"/>
    <col min="2304" max="2304" width="20.7109375" style="220" bestFit="1" customWidth="1"/>
    <col min="2305" max="2307" width="20.7109375" style="220" customWidth="1"/>
    <col min="2308" max="2308" width="20.7109375" style="220" bestFit="1" customWidth="1"/>
    <col min="2309" max="2309" width="12.140625" style="220" customWidth="1"/>
    <col min="2310" max="2538" width="8.7109375" style="220" customWidth="1"/>
    <col min="2539" max="2539" width="7.28515625" style="220" customWidth="1"/>
    <col min="2540" max="2540" width="18.28515625" style="220" customWidth="1"/>
    <col min="2541" max="2541" width="23.42578125" style="220" bestFit="1" customWidth="1"/>
    <col min="2542" max="2543" width="10.140625" style="220" bestFit="1" customWidth="1"/>
    <col min="2544" max="2546" width="10.140625" style="220" customWidth="1"/>
    <col min="2547" max="2547" width="16.28515625" style="220" customWidth="1"/>
    <col min="2548" max="2548" width="20.28515625" style="220" bestFit="1" customWidth="1"/>
    <col min="2549" max="2551" width="20.28515625" style="220" customWidth="1"/>
    <col min="2552" max="2552" width="20.28515625" style="220" bestFit="1" customWidth="1"/>
    <col min="2553" max="2553" width="15.42578125" style="220" customWidth="1"/>
    <col min="2554" max="2554" width="20.28515625" style="220" bestFit="1" customWidth="1"/>
    <col min="2555" max="2557" width="20.28515625" style="220" customWidth="1"/>
    <col min="2558" max="2558" width="20.28515625" style="220" bestFit="1" customWidth="1"/>
    <col min="2559" max="2559" width="15.42578125" style="220" customWidth="1"/>
    <col min="2560" max="2560" width="20.7109375" style="220" bestFit="1" customWidth="1"/>
    <col min="2561" max="2563" width="20.7109375" style="220" customWidth="1"/>
    <col min="2564" max="2564" width="20.7109375" style="220" bestFit="1" customWidth="1"/>
    <col min="2565" max="2565" width="12.140625" style="220" customWidth="1"/>
    <col min="2566" max="2794" width="8.7109375" style="220" customWidth="1"/>
    <col min="2795" max="2795" width="7.28515625" style="220" customWidth="1"/>
    <col min="2796" max="2796" width="18.28515625" style="220" customWidth="1"/>
    <col min="2797" max="2797" width="23.42578125" style="220" bestFit="1" customWidth="1"/>
    <col min="2798" max="2799" width="10.140625" style="220" bestFit="1" customWidth="1"/>
    <col min="2800" max="2802" width="10.140625" style="220" customWidth="1"/>
    <col min="2803" max="2803" width="16.28515625" style="220" customWidth="1"/>
    <col min="2804" max="2804" width="20.28515625" style="220" bestFit="1" customWidth="1"/>
    <col min="2805" max="2807" width="20.28515625" style="220" customWidth="1"/>
    <col min="2808" max="2808" width="20.28515625" style="220" bestFit="1" customWidth="1"/>
    <col min="2809" max="2809" width="15.42578125" style="220" customWidth="1"/>
    <col min="2810" max="2810" width="20.28515625" style="220" bestFit="1" customWidth="1"/>
    <col min="2811" max="2813" width="20.28515625" style="220" customWidth="1"/>
    <col min="2814" max="2814" width="20.28515625" style="220" bestFit="1" customWidth="1"/>
    <col min="2815" max="2815" width="15.42578125" style="220" customWidth="1"/>
    <col min="2816" max="2816" width="20.7109375" style="220" bestFit="1" customWidth="1"/>
    <col min="2817" max="2819" width="20.7109375" style="220" customWidth="1"/>
    <col min="2820" max="2820" width="20.7109375" style="220" bestFit="1" customWidth="1"/>
    <col min="2821" max="2821" width="12.140625" style="220" customWidth="1"/>
    <col min="2822" max="3050" width="8.7109375" style="220" customWidth="1"/>
    <col min="3051" max="3051" width="7.28515625" style="220" customWidth="1"/>
    <col min="3052" max="3052" width="18.28515625" style="220" customWidth="1"/>
    <col min="3053" max="3053" width="23.42578125" style="220" bestFit="1" customWidth="1"/>
    <col min="3054" max="3055" width="10.140625" style="220" bestFit="1" customWidth="1"/>
    <col min="3056" max="3058" width="10.140625" style="220" customWidth="1"/>
    <col min="3059" max="3059" width="16.28515625" style="220" customWidth="1"/>
    <col min="3060" max="3060" width="20.28515625" style="220" bestFit="1" customWidth="1"/>
    <col min="3061" max="3063" width="20.28515625" style="220" customWidth="1"/>
    <col min="3064" max="3064" width="20.28515625" style="220" bestFit="1" customWidth="1"/>
    <col min="3065" max="3065" width="15.42578125" style="220" customWidth="1"/>
    <col min="3066" max="3066" width="20.28515625" style="220" bestFit="1" customWidth="1"/>
    <col min="3067" max="3069" width="20.28515625" style="220" customWidth="1"/>
    <col min="3070" max="3070" width="20.28515625" style="220" bestFit="1" customWidth="1"/>
    <col min="3071" max="3071" width="15.42578125" style="220" customWidth="1"/>
    <col min="3072" max="3072" width="20.7109375" style="220" bestFit="1" customWidth="1"/>
    <col min="3073" max="3075" width="20.7109375" style="220" customWidth="1"/>
    <col min="3076" max="3076" width="20.7109375" style="220" bestFit="1" customWidth="1"/>
    <col min="3077" max="3077" width="12.140625" style="220" customWidth="1"/>
    <col min="3078" max="3306" width="8.7109375" style="220" customWidth="1"/>
    <col min="3307" max="3307" width="7.28515625" style="220" customWidth="1"/>
    <col min="3308" max="3308" width="18.28515625" style="220" customWidth="1"/>
    <col min="3309" max="3309" width="23.42578125" style="220" bestFit="1" customWidth="1"/>
    <col min="3310" max="3311" width="10.140625" style="220" bestFit="1" customWidth="1"/>
    <col min="3312" max="3314" width="10.140625" style="220" customWidth="1"/>
    <col min="3315" max="3315" width="16.28515625" style="220" customWidth="1"/>
    <col min="3316" max="3316" width="20.28515625" style="220" bestFit="1" customWidth="1"/>
    <col min="3317" max="3319" width="20.28515625" style="220" customWidth="1"/>
    <col min="3320" max="3320" width="20.28515625" style="220" bestFit="1" customWidth="1"/>
    <col min="3321" max="3321" width="15.42578125" style="220" customWidth="1"/>
    <col min="3322" max="3322" width="20.28515625" style="220" bestFit="1" customWidth="1"/>
    <col min="3323" max="3325" width="20.28515625" style="220" customWidth="1"/>
    <col min="3326" max="3326" width="20.28515625" style="220" bestFit="1" customWidth="1"/>
    <col min="3327" max="3327" width="15.42578125" style="220" customWidth="1"/>
    <col min="3328" max="3328" width="20.7109375" style="220" bestFit="1" customWidth="1"/>
    <col min="3329" max="3331" width="20.7109375" style="220" customWidth="1"/>
    <col min="3332" max="3332" width="20.7109375" style="220" bestFit="1" customWidth="1"/>
    <col min="3333" max="3333" width="12.140625" style="220" customWidth="1"/>
    <col min="3334" max="3562" width="8.7109375" style="220" customWidth="1"/>
    <col min="3563" max="3563" width="7.28515625" style="220" customWidth="1"/>
    <col min="3564" max="3564" width="18.28515625" style="220" customWidth="1"/>
    <col min="3565" max="3565" width="23.42578125" style="220" bestFit="1" customWidth="1"/>
    <col min="3566" max="3567" width="10.140625" style="220" bestFit="1" customWidth="1"/>
    <col min="3568" max="3570" width="10.140625" style="220" customWidth="1"/>
    <col min="3571" max="3571" width="16.28515625" style="220" customWidth="1"/>
    <col min="3572" max="3572" width="20.28515625" style="220" bestFit="1" customWidth="1"/>
    <col min="3573" max="3575" width="20.28515625" style="220" customWidth="1"/>
    <col min="3576" max="3576" width="20.28515625" style="220" bestFit="1" customWidth="1"/>
    <col min="3577" max="3577" width="15.42578125" style="220" customWidth="1"/>
    <col min="3578" max="3578" width="20.28515625" style="220" bestFit="1" customWidth="1"/>
    <col min="3579" max="3581" width="20.28515625" style="220" customWidth="1"/>
    <col min="3582" max="3582" width="20.28515625" style="220" bestFit="1" customWidth="1"/>
    <col min="3583" max="3583" width="15.42578125" style="220" customWidth="1"/>
    <col min="3584" max="3584" width="20.7109375" style="220" bestFit="1" customWidth="1"/>
    <col min="3585" max="3587" width="20.7109375" style="220" customWidth="1"/>
    <col min="3588" max="3588" width="20.7109375" style="220" bestFit="1" customWidth="1"/>
    <col min="3589" max="3589" width="12.140625" style="220" customWidth="1"/>
    <col min="3590" max="3818" width="8.7109375" style="220" customWidth="1"/>
    <col min="3819" max="3819" width="7.28515625" style="220" customWidth="1"/>
    <col min="3820" max="3820" width="18.28515625" style="220" customWidth="1"/>
    <col min="3821" max="3821" width="23.42578125" style="220" bestFit="1" customWidth="1"/>
    <col min="3822" max="3823" width="10.140625" style="220" bestFit="1" customWidth="1"/>
    <col min="3824" max="3826" width="10.140625" style="220" customWidth="1"/>
    <col min="3827" max="3827" width="16.28515625" style="220" customWidth="1"/>
    <col min="3828" max="3828" width="20.28515625" style="220" bestFit="1" customWidth="1"/>
    <col min="3829" max="3831" width="20.28515625" style="220" customWidth="1"/>
    <col min="3832" max="3832" width="20.28515625" style="220" bestFit="1" customWidth="1"/>
    <col min="3833" max="3833" width="15.42578125" style="220" customWidth="1"/>
    <col min="3834" max="3834" width="20.28515625" style="220" bestFit="1" customWidth="1"/>
    <col min="3835" max="3837" width="20.28515625" style="220" customWidth="1"/>
    <col min="3838" max="3838" width="20.28515625" style="220" bestFit="1" customWidth="1"/>
    <col min="3839" max="3839" width="15.42578125" style="220" customWidth="1"/>
    <col min="3840" max="3840" width="20.7109375" style="220" bestFit="1" customWidth="1"/>
    <col min="3841" max="3843" width="20.7109375" style="220" customWidth="1"/>
    <col min="3844" max="3844" width="20.7109375" style="220" bestFit="1" customWidth="1"/>
    <col min="3845" max="3845" width="12.140625" style="220" customWidth="1"/>
    <col min="3846" max="4074" width="8.7109375" style="220" customWidth="1"/>
    <col min="4075" max="4075" width="7.28515625" style="220" customWidth="1"/>
    <col min="4076" max="4076" width="18.28515625" style="220" customWidth="1"/>
    <col min="4077" max="4077" width="23.42578125" style="220" bestFit="1" customWidth="1"/>
    <col min="4078" max="4079" width="10.140625" style="220" bestFit="1" customWidth="1"/>
    <col min="4080" max="4082" width="10.140625" style="220" customWidth="1"/>
    <col min="4083" max="4083" width="16.28515625" style="220" customWidth="1"/>
    <col min="4084" max="4084" width="20.28515625" style="220" bestFit="1" customWidth="1"/>
    <col min="4085" max="4087" width="20.28515625" style="220" customWidth="1"/>
    <col min="4088" max="4088" width="20.28515625" style="220" bestFit="1" customWidth="1"/>
    <col min="4089" max="4089" width="15.42578125" style="220" customWidth="1"/>
    <col min="4090" max="4090" width="20.28515625" style="220" bestFit="1" customWidth="1"/>
    <col min="4091" max="4093" width="20.28515625" style="220" customWidth="1"/>
    <col min="4094" max="4094" width="20.28515625" style="220" bestFit="1" customWidth="1"/>
    <col min="4095" max="4095" width="15.42578125" style="220" customWidth="1"/>
    <col min="4096" max="4096" width="20.7109375" style="220" bestFit="1" customWidth="1"/>
    <col min="4097" max="4099" width="20.7109375" style="220" customWidth="1"/>
    <col min="4100" max="4100" width="20.7109375" style="220" bestFit="1" customWidth="1"/>
    <col min="4101" max="4101" width="12.140625" style="220" customWidth="1"/>
    <col min="4102" max="4330" width="8.7109375" style="220" customWidth="1"/>
    <col min="4331" max="4331" width="7.28515625" style="220" customWidth="1"/>
    <col min="4332" max="4332" width="18.28515625" style="220" customWidth="1"/>
    <col min="4333" max="4333" width="23.42578125" style="220" bestFit="1" customWidth="1"/>
    <col min="4334" max="4335" width="10.140625" style="220" bestFit="1" customWidth="1"/>
    <col min="4336" max="4338" width="10.140625" style="220" customWidth="1"/>
    <col min="4339" max="4339" width="16.28515625" style="220" customWidth="1"/>
    <col min="4340" max="4340" width="20.28515625" style="220" bestFit="1" customWidth="1"/>
    <col min="4341" max="4343" width="20.28515625" style="220" customWidth="1"/>
    <col min="4344" max="4344" width="20.28515625" style="220" bestFit="1" customWidth="1"/>
    <col min="4345" max="4345" width="15.42578125" style="220" customWidth="1"/>
    <col min="4346" max="4346" width="20.28515625" style="220" bestFit="1" customWidth="1"/>
    <col min="4347" max="4349" width="20.28515625" style="220" customWidth="1"/>
    <col min="4350" max="4350" width="20.28515625" style="220" bestFit="1" customWidth="1"/>
    <col min="4351" max="4351" width="15.42578125" style="220" customWidth="1"/>
    <col min="4352" max="4352" width="20.7109375" style="220" bestFit="1" customWidth="1"/>
    <col min="4353" max="4355" width="20.7109375" style="220" customWidth="1"/>
    <col min="4356" max="4356" width="20.7109375" style="220" bestFit="1" customWidth="1"/>
    <col min="4357" max="4357" width="12.140625" style="220" customWidth="1"/>
    <col min="4358" max="4586" width="8.7109375" style="220" customWidth="1"/>
    <col min="4587" max="4587" width="7.28515625" style="220" customWidth="1"/>
    <col min="4588" max="4588" width="18.28515625" style="220" customWidth="1"/>
    <col min="4589" max="4589" width="23.42578125" style="220" bestFit="1" customWidth="1"/>
    <col min="4590" max="4591" width="10.140625" style="220" bestFit="1" customWidth="1"/>
    <col min="4592" max="4594" width="10.140625" style="220" customWidth="1"/>
    <col min="4595" max="4595" width="16.28515625" style="220" customWidth="1"/>
    <col min="4596" max="4596" width="20.28515625" style="220" bestFit="1" customWidth="1"/>
    <col min="4597" max="4599" width="20.28515625" style="220" customWidth="1"/>
    <col min="4600" max="4600" width="20.28515625" style="220" bestFit="1" customWidth="1"/>
    <col min="4601" max="4601" width="15.42578125" style="220" customWidth="1"/>
    <col min="4602" max="4602" width="20.28515625" style="220" bestFit="1" customWidth="1"/>
    <col min="4603" max="4605" width="20.28515625" style="220" customWidth="1"/>
    <col min="4606" max="4606" width="20.28515625" style="220" bestFit="1" customWidth="1"/>
    <col min="4607" max="4607" width="15.42578125" style="220" customWidth="1"/>
    <col min="4608" max="4608" width="20.7109375" style="220" bestFit="1" customWidth="1"/>
    <col min="4609" max="4611" width="20.7109375" style="220" customWidth="1"/>
    <col min="4612" max="4612" width="20.7109375" style="220" bestFit="1" customWidth="1"/>
    <col min="4613" max="4613" width="12.140625" style="220" customWidth="1"/>
    <col min="4614" max="4842" width="8.7109375" style="220" customWidth="1"/>
    <col min="4843" max="4843" width="7.28515625" style="220" customWidth="1"/>
    <col min="4844" max="4844" width="18.28515625" style="220" customWidth="1"/>
    <col min="4845" max="4845" width="23.42578125" style="220" bestFit="1" customWidth="1"/>
    <col min="4846" max="4847" width="10.140625" style="220" bestFit="1" customWidth="1"/>
    <col min="4848" max="4850" width="10.140625" style="220" customWidth="1"/>
    <col min="4851" max="4851" width="16.28515625" style="220" customWidth="1"/>
    <col min="4852" max="4852" width="20.28515625" style="220" bestFit="1" customWidth="1"/>
    <col min="4853" max="4855" width="20.28515625" style="220" customWidth="1"/>
    <col min="4856" max="4856" width="20.28515625" style="220" bestFit="1" customWidth="1"/>
    <col min="4857" max="4857" width="15.42578125" style="220" customWidth="1"/>
    <col min="4858" max="4858" width="20.28515625" style="220" bestFit="1" customWidth="1"/>
    <col min="4859" max="4861" width="20.28515625" style="220" customWidth="1"/>
    <col min="4862" max="4862" width="20.28515625" style="220" bestFit="1" customWidth="1"/>
    <col min="4863" max="4863" width="15.42578125" style="220" customWidth="1"/>
    <col min="4864" max="4864" width="20.7109375" style="220" bestFit="1" customWidth="1"/>
    <col min="4865" max="4867" width="20.7109375" style="220" customWidth="1"/>
    <col min="4868" max="4868" width="20.7109375" style="220" bestFit="1" customWidth="1"/>
    <col min="4869" max="4869" width="12.140625" style="220" customWidth="1"/>
    <col min="4870" max="5098" width="8.7109375" style="220" customWidth="1"/>
    <col min="5099" max="5099" width="7.28515625" style="220" customWidth="1"/>
    <col min="5100" max="5100" width="18.28515625" style="220" customWidth="1"/>
    <col min="5101" max="5101" width="23.42578125" style="220" bestFit="1" customWidth="1"/>
    <col min="5102" max="5103" width="10.140625" style="220" bestFit="1" customWidth="1"/>
    <col min="5104" max="5106" width="10.140625" style="220" customWidth="1"/>
    <col min="5107" max="5107" width="16.28515625" style="220" customWidth="1"/>
    <col min="5108" max="5108" width="20.28515625" style="220" bestFit="1" customWidth="1"/>
    <col min="5109" max="5111" width="20.28515625" style="220" customWidth="1"/>
    <col min="5112" max="5112" width="20.28515625" style="220" bestFit="1" customWidth="1"/>
    <col min="5113" max="5113" width="15.42578125" style="220" customWidth="1"/>
    <col min="5114" max="5114" width="20.28515625" style="220" bestFit="1" customWidth="1"/>
    <col min="5115" max="5117" width="20.28515625" style="220" customWidth="1"/>
    <col min="5118" max="5118" width="20.28515625" style="220" bestFit="1" customWidth="1"/>
    <col min="5119" max="5119" width="15.42578125" style="220" customWidth="1"/>
    <col min="5120" max="5120" width="20.7109375" style="220" bestFit="1" customWidth="1"/>
    <col min="5121" max="5123" width="20.7109375" style="220" customWidth="1"/>
    <col min="5124" max="5124" width="20.7109375" style="220" bestFit="1" customWidth="1"/>
    <col min="5125" max="5125" width="12.140625" style="220" customWidth="1"/>
    <col min="5126" max="5354" width="8.7109375" style="220" customWidth="1"/>
    <col min="5355" max="5355" width="7.28515625" style="220" customWidth="1"/>
    <col min="5356" max="5356" width="18.28515625" style="220" customWidth="1"/>
    <col min="5357" max="5357" width="23.42578125" style="220" bestFit="1" customWidth="1"/>
    <col min="5358" max="5359" width="10.140625" style="220" bestFit="1" customWidth="1"/>
    <col min="5360" max="5362" width="10.140625" style="220" customWidth="1"/>
    <col min="5363" max="5363" width="16.28515625" style="220" customWidth="1"/>
    <col min="5364" max="5364" width="20.28515625" style="220" bestFit="1" customWidth="1"/>
    <col min="5365" max="5367" width="20.28515625" style="220" customWidth="1"/>
    <col min="5368" max="5368" width="20.28515625" style="220" bestFit="1" customWidth="1"/>
    <col min="5369" max="5369" width="15.42578125" style="220" customWidth="1"/>
    <col min="5370" max="5370" width="20.28515625" style="220" bestFit="1" customWidth="1"/>
    <col min="5371" max="5373" width="20.28515625" style="220" customWidth="1"/>
    <col min="5374" max="5374" width="20.28515625" style="220" bestFit="1" customWidth="1"/>
    <col min="5375" max="5375" width="15.42578125" style="220" customWidth="1"/>
    <col min="5376" max="5376" width="20.7109375" style="220" bestFit="1" customWidth="1"/>
    <col min="5377" max="5379" width="20.7109375" style="220" customWidth="1"/>
    <col min="5380" max="5380" width="20.7109375" style="220" bestFit="1" customWidth="1"/>
    <col min="5381" max="5381" width="12.140625" style="220" customWidth="1"/>
    <col min="5382" max="5610" width="8.7109375" style="220" customWidth="1"/>
    <col min="5611" max="5611" width="7.28515625" style="220" customWidth="1"/>
    <col min="5612" max="5612" width="18.28515625" style="220" customWidth="1"/>
    <col min="5613" max="5613" width="23.42578125" style="220" bestFit="1" customWidth="1"/>
    <col min="5614" max="5615" width="10.140625" style="220" bestFit="1" customWidth="1"/>
    <col min="5616" max="5618" width="10.140625" style="220" customWidth="1"/>
    <col min="5619" max="5619" width="16.28515625" style="220" customWidth="1"/>
    <col min="5620" max="5620" width="20.28515625" style="220" bestFit="1" customWidth="1"/>
    <col min="5621" max="5623" width="20.28515625" style="220" customWidth="1"/>
    <col min="5624" max="5624" width="20.28515625" style="220" bestFit="1" customWidth="1"/>
    <col min="5625" max="5625" width="15.42578125" style="220" customWidth="1"/>
    <col min="5626" max="5626" width="20.28515625" style="220" bestFit="1" customWidth="1"/>
    <col min="5627" max="5629" width="20.28515625" style="220" customWidth="1"/>
    <col min="5630" max="5630" width="20.28515625" style="220" bestFit="1" customWidth="1"/>
    <col min="5631" max="5631" width="15.42578125" style="220" customWidth="1"/>
    <col min="5632" max="5632" width="20.7109375" style="220" bestFit="1" customWidth="1"/>
    <col min="5633" max="5635" width="20.7109375" style="220" customWidth="1"/>
    <col min="5636" max="5636" width="20.7109375" style="220" bestFit="1" customWidth="1"/>
    <col min="5637" max="5637" width="12.140625" style="220" customWidth="1"/>
    <col min="5638" max="5866" width="8.7109375" style="220" customWidth="1"/>
    <col min="5867" max="5867" width="7.28515625" style="220" customWidth="1"/>
    <col min="5868" max="5868" width="18.28515625" style="220" customWidth="1"/>
    <col min="5869" max="5869" width="23.42578125" style="220" bestFit="1" customWidth="1"/>
    <col min="5870" max="5871" width="10.140625" style="220" bestFit="1" customWidth="1"/>
    <col min="5872" max="5874" width="10.140625" style="220" customWidth="1"/>
    <col min="5875" max="5875" width="16.28515625" style="220" customWidth="1"/>
    <col min="5876" max="5876" width="20.28515625" style="220" bestFit="1" customWidth="1"/>
    <col min="5877" max="5879" width="20.28515625" style="220" customWidth="1"/>
    <col min="5880" max="5880" width="20.28515625" style="220" bestFit="1" customWidth="1"/>
    <col min="5881" max="5881" width="15.42578125" style="220" customWidth="1"/>
    <col min="5882" max="5882" width="20.28515625" style="220" bestFit="1" customWidth="1"/>
    <col min="5883" max="5885" width="20.28515625" style="220" customWidth="1"/>
    <col min="5886" max="5886" width="20.28515625" style="220" bestFit="1" customWidth="1"/>
    <col min="5887" max="5887" width="15.42578125" style="220" customWidth="1"/>
    <col min="5888" max="5888" width="20.7109375" style="220" bestFit="1" customWidth="1"/>
    <col min="5889" max="5891" width="20.7109375" style="220" customWidth="1"/>
    <col min="5892" max="5892" width="20.7109375" style="220" bestFit="1" customWidth="1"/>
    <col min="5893" max="5893" width="12.140625" style="220" customWidth="1"/>
    <col min="5894" max="6122" width="8.7109375" style="220" customWidth="1"/>
    <col min="6123" max="6123" width="7.28515625" style="220" customWidth="1"/>
    <col min="6124" max="6124" width="18.28515625" style="220" customWidth="1"/>
    <col min="6125" max="6125" width="23.42578125" style="220" bestFit="1" customWidth="1"/>
    <col min="6126" max="6127" width="10.140625" style="220" bestFit="1" customWidth="1"/>
    <col min="6128" max="6130" width="10.140625" style="220" customWidth="1"/>
    <col min="6131" max="6131" width="16.28515625" style="220" customWidth="1"/>
    <col min="6132" max="6132" width="20.28515625" style="220" bestFit="1" customWidth="1"/>
    <col min="6133" max="6135" width="20.28515625" style="220" customWidth="1"/>
    <col min="6136" max="6136" width="20.28515625" style="220" bestFit="1" customWidth="1"/>
    <col min="6137" max="6137" width="15.42578125" style="220" customWidth="1"/>
    <col min="6138" max="6138" width="20.28515625" style="220" bestFit="1" customWidth="1"/>
    <col min="6139" max="6141" width="20.28515625" style="220" customWidth="1"/>
    <col min="6142" max="6142" width="20.28515625" style="220" bestFit="1" customWidth="1"/>
    <col min="6143" max="6143" width="15.42578125" style="220" customWidth="1"/>
    <col min="6144" max="6144" width="20.7109375" style="220" bestFit="1" customWidth="1"/>
    <col min="6145" max="6147" width="20.7109375" style="220" customWidth="1"/>
    <col min="6148" max="6148" width="20.7109375" style="220" bestFit="1" customWidth="1"/>
    <col min="6149" max="6149" width="12.140625" style="220" customWidth="1"/>
    <col min="6150" max="6378" width="8.7109375" style="220" customWidth="1"/>
    <col min="6379" max="6379" width="7.28515625" style="220" customWidth="1"/>
    <col min="6380" max="6380" width="18.28515625" style="220" customWidth="1"/>
    <col min="6381" max="6381" width="23.42578125" style="220" bestFit="1" customWidth="1"/>
    <col min="6382" max="6383" width="10.140625" style="220" bestFit="1" customWidth="1"/>
    <col min="6384" max="6386" width="10.140625" style="220" customWidth="1"/>
    <col min="6387" max="6387" width="16.28515625" style="220" customWidth="1"/>
    <col min="6388" max="6388" width="20.28515625" style="220" bestFit="1" customWidth="1"/>
    <col min="6389" max="6391" width="20.28515625" style="220" customWidth="1"/>
    <col min="6392" max="6392" width="20.28515625" style="220" bestFit="1" customWidth="1"/>
    <col min="6393" max="6393" width="15.42578125" style="220" customWidth="1"/>
    <col min="6394" max="6394" width="20.28515625" style="220" bestFit="1" customWidth="1"/>
    <col min="6395" max="6397" width="20.28515625" style="220" customWidth="1"/>
    <col min="6398" max="6398" width="20.28515625" style="220" bestFit="1" customWidth="1"/>
    <col min="6399" max="6399" width="15.42578125" style="220" customWidth="1"/>
    <col min="6400" max="6400" width="20.7109375" style="220" bestFit="1" customWidth="1"/>
    <col min="6401" max="6403" width="20.7109375" style="220" customWidth="1"/>
    <col min="6404" max="6404" width="20.7109375" style="220" bestFit="1" customWidth="1"/>
    <col min="6405" max="6405" width="12.140625" style="220" customWidth="1"/>
    <col min="6406" max="6634" width="8.7109375" style="220" customWidth="1"/>
    <col min="6635" max="6635" width="7.28515625" style="220" customWidth="1"/>
    <col min="6636" max="6636" width="18.28515625" style="220" customWidth="1"/>
    <col min="6637" max="6637" width="23.42578125" style="220" bestFit="1" customWidth="1"/>
    <col min="6638" max="6639" width="10.140625" style="220" bestFit="1" customWidth="1"/>
    <col min="6640" max="6642" width="10.140625" style="220" customWidth="1"/>
    <col min="6643" max="6643" width="16.28515625" style="220" customWidth="1"/>
    <col min="6644" max="6644" width="20.28515625" style="220" bestFit="1" customWidth="1"/>
    <col min="6645" max="6647" width="20.28515625" style="220" customWidth="1"/>
    <col min="6648" max="6648" width="20.28515625" style="220" bestFit="1" customWidth="1"/>
    <col min="6649" max="6649" width="15.42578125" style="220" customWidth="1"/>
    <col min="6650" max="6650" width="20.28515625" style="220" bestFit="1" customWidth="1"/>
    <col min="6651" max="6653" width="20.28515625" style="220" customWidth="1"/>
    <col min="6654" max="6654" width="20.28515625" style="220" bestFit="1" customWidth="1"/>
    <col min="6655" max="6655" width="15.42578125" style="220" customWidth="1"/>
    <col min="6656" max="6656" width="20.7109375" style="220" bestFit="1" customWidth="1"/>
    <col min="6657" max="6659" width="20.7109375" style="220" customWidth="1"/>
    <col min="6660" max="6660" width="20.7109375" style="220" bestFit="1" customWidth="1"/>
    <col min="6661" max="6661" width="12.140625" style="220" customWidth="1"/>
    <col min="6662" max="6890" width="8.7109375" style="220" customWidth="1"/>
    <col min="6891" max="6891" width="7.28515625" style="220" customWidth="1"/>
    <col min="6892" max="6892" width="18.28515625" style="220" customWidth="1"/>
    <col min="6893" max="6893" width="23.42578125" style="220" bestFit="1" customWidth="1"/>
    <col min="6894" max="6895" width="10.140625" style="220" bestFit="1" customWidth="1"/>
    <col min="6896" max="6898" width="10.140625" style="220" customWidth="1"/>
    <col min="6899" max="6899" width="16.28515625" style="220" customWidth="1"/>
    <col min="6900" max="6900" width="20.28515625" style="220" bestFit="1" customWidth="1"/>
    <col min="6901" max="6903" width="20.28515625" style="220" customWidth="1"/>
    <col min="6904" max="6904" width="20.28515625" style="220" bestFit="1" customWidth="1"/>
    <col min="6905" max="6905" width="15.42578125" style="220" customWidth="1"/>
    <col min="6906" max="6906" width="20.28515625" style="220" bestFit="1" customWidth="1"/>
    <col min="6907" max="6909" width="20.28515625" style="220" customWidth="1"/>
    <col min="6910" max="6910" width="20.28515625" style="220" bestFit="1" customWidth="1"/>
    <col min="6911" max="6911" width="15.42578125" style="220" customWidth="1"/>
    <col min="6912" max="6912" width="20.7109375" style="220" bestFit="1" customWidth="1"/>
    <col min="6913" max="6915" width="20.7109375" style="220" customWidth="1"/>
    <col min="6916" max="6916" width="20.7109375" style="220" bestFit="1" customWidth="1"/>
    <col min="6917" max="6917" width="12.140625" style="220" customWidth="1"/>
    <col min="6918" max="7146" width="8.7109375" style="220" customWidth="1"/>
    <col min="7147" max="7147" width="7.28515625" style="220" customWidth="1"/>
    <col min="7148" max="7148" width="18.28515625" style="220" customWidth="1"/>
    <col min="7149" max="7149" width="23.42578125" style="220" bestFit="1" customWidth="1"/>
    <col min="7150" max="7151" width="10.140625" style="220" bestFit="1" customWidth="1"/>
    <col min="7152" max="7154" width="10.140625" style="220" customWidth="1"/>
    <col min="7155" max="7155" width="16.28515625" style="220" customWidth="1"/>
    <col min="7156" max="7156" width="20.28515625" style="220" bestFit="1" customWidth="1"/>
    <col min="7157" max="7159" width="20.28515625" style="220" customWidth="1"/>
    <col min="7160" max="7160" width="20.28515625" style="220" bestFit="1" customWidth="1"/>
    <col min="7161" max="7161" width="15.42578125" style="220" customWidth="1"/>
    <col min="7162" max="7162" width="20.28515625" style="220" bestFit="1" customWidth="1"/>
    <col min="7163" max="7165" width="20.28515625" style="220" customWidth="1"/>
    <col min="7166" max="7166" width="20.28515625" style="220" bestFit="1" customWidth="1"/>
    <col min="7167" max="7167" width="15.42578125" style="220" customWidth="1"/>
    <col min="7168" max="7168" width="20.7109375" style="220" bestFit="1" customWidth="1"/>
    <col min="7169" max="7171" width="20.7109375" style="220" customWidth="1"/>
    <col min="7172" max="7172" width="20.7109375" style="220" bestFit="1" customWidth="1"/>
    <col min="7173" max="7173" width="12.140625" style="220" customWidth="1"/>
    <col min="7174" max="7402" width="8.7109375" style="220" customWidth="1"/>
    <col min="7403" max="7403" width="7.28515625" style="220" customWidth="1"/>
    <col min="7404" max="7404" width="18.28515625" style="220" customWidth="1"/>
    <col min="7405" max="7405" width="23.42578125" style="220" bestFit="1" customWidth="1"/>
    <col min="7406" max="7407" width="10.140625" style="220" bestFit="1" customWidth="1"/>
    <col min="7408" max="7410" width="10.140625" style="220" customWidth="1"/>
    <col min="7411" max="7411" width="16.28515625" style="220" customWidth="1"/>
    <col min="7412" max="7412" width="20.28515625" style="220" bestFit="1" customWidth="1"/>
    <col min="7413" max="7415" width="20.28515625" style="220" customWidth="1"/>
    <col min="7416" max="7416" width="20.28515625" style="220" bestFit="1" customWidth="1"/>
    <col min="7417" max="7417" width="15.42578125" style="220" customWidth="1"/>
    <col min="7418" max="7418" width="20.28515625" style="220" bestFit="1" customWidth="1"/>
    <col min="7419" max="7421" width="20.28515625" style="220" customWidth="1"/>
    <col min="7422" max="7422" width="20.28515625" style="220" bestFit="1" customWidth="1"/>
    <col min="7423" max="7423" width="15.42578125" style="220" customWidth="1"/>
    <col min="7424" max="7424" width="20.7109375" style="220" bestFit="1" customWidth="1"/>
    <col min="7425" max="7427" width="20.7109375" style="220" customWidth="1"/>
    <col min="7428" max="7428" width="20.7109375" style="220" bestFit="1" customWidth="1"/>
    <col min="7429" max="7429" width="12.140625" style="220" customWidth="1"/>
    <col min="7430" max="7658" width="8.7109375" style="220" customWidth="1"/>
    <col min="7659" max="7659" width="7.28515625" style="220" customWidth="1"/>
    <col min="7660" max="7660" width="18.28515625" style="220" customWidth="1"/>
    <col min="7661" max="7661" width="23.42578125" style="220" bestFit="1" customWidth="1"/>
    <col min="7662" max="7663" width="10.140625" style="220" bestFit="1" customWidth="1"/>
    <col min="7664" max="7666" width="10.140625" style="220" customWidth="1"/>
    <col min="7667" max="7667" width="16.28515625" style="220" customWidth="1"/>
    <col min="7668" max="7668" width="20.28515625" style="220" bestFit="1" customWidth="1"/>
    <col min="7669" max="7671" width="20.28515625" style="220" customWidth="1"/>
    <col min="7672" max="7672" width="20.28515625" style="220" bestFit="1" customWidth="1"/>
    <col min="7673" max="7673" width="15.42578125" style="220" customWidth="1"/>
    <col min="7674" max="7674" width="20.28515625" style="220" bestFit="1" customWidth="1"/>
    <col min="7675" max="7677" width="20.28515625" style="220" customWidth="1"/>
    <col min="7678" max="7678" width="20.28515625" style="220" bestFit="1" customWidth="1"/>
    <col min="7679" max="7679" width="15.42578125" style="220" customWidth="1"/>
    <col min="7680" max="7680" width="20.7109375" style="220" bestFit="1" customWidth="1"/>
    <col min="7681" max="7683" width="20.7109375" style="220" customWidth="1"/>
    <col min="7684" max="7684" width="20.7109375" style="220" bestFit="1" customWidth="1"/>
    <col min="7685" max="7685" width="12.140625" style="220" customWidth="1"/>
    <col min="7686" max="7914" width="8.7109375" style="220" customWidth="1"/>
    <col min="7915" max="7915" width="7.28515625" style="220" customWidth="1"/>
    <col min="7916" max="7916" width="18.28515625" style="220" customWidth="1"/>
    <col min="7917" max="7917" width="23.42578125" style="220" bestFit="1" customWidth="1"/>
    <col min="7918" max="7919" width="10.140625" style="220" bestFit="1" customWidth="1"/>
    <col min="7920" max="7922" width="10.140625" style="220" customWidth="1"/>
    <col min="7923" max="7923" width="16.28515625" style="220" customWidth="1"/>
    <col min="7924" max="7924" width="20.28515625" style="220" bestFit="1" customWidth="1"/>
    <col min="7925" max="7927" width="20.28515625" style="220" customWidth="1"/>
    <col min="7928" max="7928" width="20.28515625" style="220" bestFit="1" customWidth="1"/>
    <col min="7929" max="7929" width="15.42578125" style="220" customWidth="1"/>
    <col min="7930" max="7930" width="20.28515625" style="220" bestFit="1" customWidth="1"/>
    <col min="7931" max="7933" width="20.28515625" style="220" customWidth="1"/>
    <col min="7934" max="7934" width="20.28515625" style="220" bestFit="1" customWidth="1"/>
    <col min="7935" max="7935" width="15.42578125" style="220" customWidth="1"/>
    <col min="7936" max="7936" width="20.7109375" style="220" bestFit="1" customWidth="1"/>
    <col min="7937" max="7939" width="20.7109375" style="220" customWidth="1"/>
    <col min="7940" max="7940" width="20.7109375" style="220" bestFit="1" customWidth="1"/>
    <col min="7941" max="7941" width="12.140625" style="220" customWidth="1"/>
    <col min="7942" max="8170" width="8.7109375" style="220" customWidth="1"/>
    <col min="8171" max="8171" width="7.28515625" style="220" customWidth="1"/>
    <col min="8172" max="8172" width="18.28515625" style="220" customWidth="1"/>
    <col min="8173" max="8173" width="23.42578125" style="220" bestFit="1" customWidth="1"/>
    <col min="8174" max="8175" width="10.140625" style="220" bestFit="1" customWidth="1"/>
    <col min="8176" max="8178" width="10.140625" style="220" customWidth="1"/>
    <col min="8179" max="8179" width="16.28515625" style="220" customWidth="1"/>
    <col min="8180" max="8180" width="20.28515625" style="220" bestFit="1" customWidth="1"/>
    <col min="8181" max="8183" width="20.28515625" style="220" customWidth="1"/>
    <col min="8184" max="8184" width="20.28515625" style="220" bestFit="1" customWidth="1"/>
    <col min="8185" max="8185" width="15.42578125" style="220" customWidth="1"/>
    <col min="8186" max="8186" width="20.28515625" style="220" bestFit="1" customWidth="1"/>
    <col min="8187" max="8189" width="20.28515625" style="220" customWidth="1"/>
    <col min="8190" max="8190" width="20.28515625" style="220" bestFit="1" customWidth="1"/>
    <col min="8191" max="8191" width="15.42578125" style="220" customWidth="1"/>
    <col min="8192" max="8192" width="20.7109375" style="220" bestFit="1" customWidth="1"/>
    <col min="8193" max="8195" width="20.7109375" style="220" customWidth="1"/>
    <col min="8196" max="8196" width="20.7109375" style="220" bestFit="1" customWidth="1"/>
    <col min="8197" max="8197" width="12.140625" style="220" customWidth="1"/>
    <col min="8198" max="8426" width="8.7109375" style="220" customWidth="1"/>
    <col min="8427" max="8427" width="7.28515625" style="220" customWidth="1"/>
    <col min="8428" max="8428" width="18.28515625" style="220" customWidth="1"/>
    <col min="8429" max="8429" width="23.42578125" style="220" bestFit="1" customWidth="1"/>
    <col min="8430" max="8431" width="10.140625" style="220" bestFit="1" customWidth="1"/>
    <col min="8432" max="8434" width="10.140625" style="220" customWidth="1"/>
    <col min="8435" max="8435" width="16.28515625" style="220" customWidth="1"/>
    <col min="8436" max="8436" width="20.28515625" style="220" bestFit="1" customWidth="1"/>
    <col min="8437" max="8439" width="20.28515625" style="220" customWidth="1"/>
    <col min="8440" max="8440" width="20.28515625" style="220" bestFit="1" customWidth="1"/>
    <col min="8441" max="8441" width="15.42578125" style="220" customWidth="1"/>
    <col min="8442" max="8442" width="20.28515625" style="220" bestFit="1" customWidth="1"/>
    <col min="8443" max="8445" width="20.28515625" style="220" customWidth="1"/>
    <col min="8446" max="8446" width="20.28515625" style="220" bestFit="1" customWidth="1"/>
    <col min="8447" max="8447" width="15.42578125" style="220" customWidth="1"/>
    <col min="8448" max="8448" width="20.7109375" style="220" bestFit="1" customWidth="1"/>
    <col min="8449" max="8451" width="20.7109375" style="220" customWidth="1"/>
    <col min="8452" max="8452" width="20.7109375" style="220" bestFit="1" customWidth="1"/>
    <col min="8453" max="8453" width="12.140625" style="220" customWidth="1"/>
    <col min="8454" max="8682" width="8.7109375" style="220" customWidth="1"/>
    <col min="8683" max="8683" width="7.28515625" style="220" customWidth="1"/>
    <col min="8684" max="8684" width="18.28515625" style="220" customWidth="1"/>
    <col min="8685" max="8685" width="23.42578125" style="220" bestFit="1" customWidth="1"/>
    <col min="8686" max="8687" width="10.140625" style="220" bestFit="1" customWidth="1"/>
    <col min="8688" max="8690" width="10.140625" style="220" customWidth="1"/>
    <col min="8691" max="8691" width="16.28515625" style="220" customWidth="1"/>
    <col min="8692" max="8692" width="20.28515625" style="220" bestFit="1" customWidth="1"/>
    <col min="8693" max="8695" width="20.28515625" style="220" customWidth="1"/>
    <col min="8696" max="8696" width="20.28515625" style="220" bestFit="1" customWidth="1"/>
    <col min="8697" max="8697" width="15.42578125" style="220" customWidth="1"/>
    <col min="8698" max="8698" width="20.28515625" style="220" bestFit="1" customWidth="1"/>
    <col min="8699" max="8701" width="20.28515625" style="220" customWidth="1"/>
    <col min="8702" max="8702" width="20.28515625" style="220" bestFit="1" customWidth="1"/>
    <col min="8703" max="8703" width="15.42578125" style="220" customWidth="1"/>
    <col min="8704" max="8704" width="20.7109375" style="220" bestFit="1" customWidth="1"/>
    <col min="8705" max="8707" width="20.7109375" style="220" customWidth="1"/>
    <col min="8708" max="8708" width="20.7109375" style="220" bestFit="1" customWidth="1"/>
    <col min="8709" max="8709" width="12.140625" style="220" customWidth="1"/>
    <col min="8710" max="8938" width="8.7109375" style="220" customWidth="1"/>
    <col min="8939" max="8939" width="7.28515625" style="220" customWidth="1"/>
    <col min="8940" max="8940" width="18.28515625" style="220" customWidth="1"/>
    <col min="8941" max="8941" width="23.42578125" style="220" bestFit="1" customWidth="1"/>
    <col min="8942" max="8943" width="10.140625" style="220" bestFit="1" customWidth="1"/>
    <col min="8944" max="8946" width="10.140625" style="220" customWidth="1"/>
    <col min="8947" max="8947" width="16.28515625" style="220" customWidth="1"/>
    <col min="8948" max="8948" width="20.28515625" style="220" bestFit="1" customWidth="1"/>
    <col min="8949" max="8951" width="20.28515625" style="220" customWidth="1"/>
    <col min="8952" max="8952" width="20.28515625" style="220" bestFit="1" customWidth="1"/>
    <col min="8953" max="8953" width="15.42578125" style="220" customWidth="1"/>
    <col min="8954" max="8954" width="20.28515625" style="220" bestFit="1" customWidth="1"/>
    <col min="8955" max="8957" width="20.28515625" style="220" customWidth="1"/>
    <col min="8958" max="8958" width="20.28515625" style="220" bestFit="1" customWidth="1"/>
    <col min="8959" max="8959" width="15.42578125" style="220" customWidth="1"/>
    <col min="8960" max="8960" width="20.7109375" style="220" bestFit="1" customWidth="1"/>
    <col min="8961" max="8963" width="20.7109375" style="220" customWidth="1"/>
    <col min="8964" max="8964" width="20.7109375" style="220" bestFit="1" customWidth="1"/>
    <col min="8965" max="8965" width="12.140625" style="220" customWidth="1"/>
    <col min="8966" max="9194" width="8.7109375" style="220" customWidth="1"/>
    <col min="9195" max="9195" width="7.28515625" style="220" customWidth="1"/>
    <col min="9196" max="9196" width="18.28515625" style="220" customWidth="1"/>
    <col min="9197" max="9197" width="23.42578125" style="220" bestFit="1" customWidth="1"/>
    <col min="9198" max="9199" width="10.140625" style="220" bestFit="1" customWidth="1"/>
    <col min="9200" max="9202" width="10.140625" style="220" customWidth="1"/>
    <col min="9203" max="9203" width="16.28515625" style="220" customWidth="1"/>
    <col min="9204" max="9204" width="20.28515625" style="220" bestFit="1" customWidth="1"/>
    <col min="9205" max="9207" width="20.28515625" style="220" customWidth="1"/>
    <col min="9208" max="9208" width="20.28515625" style="220" bestFit="1" customWidth="1"/>
    <col min="9209" max="9209" width="15.42578125" style="220" customWidth="1"/>
    <col min="9210" max="9210" width="20.28515625" style="220" bestFit="1" customWidth="1"/>
    <col min="9211" max="9213" width="20.28515625" style="220" customWidth="1"/>
    <col min="9214" max="9214" width="20.28515625" style="220" bestFit="1" customWidth="1"/>
    <col min="9215" max="9215" width="15.42578125" style="220" customWidth="1"/>
    <col min="9216" max="9216" width="20.7109375" style="220" bestFit="1" customWidth="1"/>
    <col min="9217" max="9219" width="20.7109375" style="220" customWidth="1"/>
    <col min="9220" max="9220" width="20.7109375" style="220" bestFit="1" customWidth="1"/>
    <col min="9221" max="9221" width="12.140625" style="220" customWidth="1"/>
    <col min="9222" max="9450" width="8.7109375" style="220" customWidth="1"/>
    <col min="9451" max="9451" width="7.28515625" style="220" customWidth="1"/>
    <col min="9452" max="9452" width="18.28515625" style="220" customWidth="1"/>
    <col min="9453" max="9453" width="23.42578125" style="220" bestFit="1" customWidth="1"/>
    <col min="9454" max="9455" width="10.140625" style="220" bestFit="1" customWidth="1"/>
    <col min="9456" max="9458" width="10.140625" style="220" customWidth="1"/>
    <col min="9459" max="9459" width="16.28515625" style="220" customWidth="1"/>
    <col min="9460" max="9460" width="20.28515625" style="220" bestFit="1" customWidth="1"/>
    <col min="9461" max="9463" width="20.28515625" style="220" customWidth="1"/>
    <col min="9464" max="9464" width="20.28515625" style="220" bestFit="1" customWidth="1"/>
    <col min="9465" max="9465" width="15.42578125" style="220" customWidth="1"/>
    <col min="9466" max="9466" width="20.28515625" style="220" bestFit="1" customWidth="1"/>
    <col min="9467" max="9469" width="20.28515625" style="220" customWidth="1"/>
    <col min="9470" max="9470" width="20.28515625" style="220" bestFit="1" customWidth="1"/>
    <col min="9471" max="9471" width="15.42578125" style="220" customWidth="1"/>
    <col min="9472" max="9472" width="20.7109375" style="220" bestFit="1" customWidth="1"/>
    <col min="9473" max="9475" width="20.7109375" style="220" customWidth="1"/>
    <col min="9476" max="9476" width="20.7109375" style="220" bestFit="1" customWidth="1"/>
    <col min="9477" max="9477" width="12.140625" style="220" customWidth="1"/>
    <col min="9478" max="9706" width="8.7109375" style="220" customWidth="1"/>
    <col min="9707" max="9707" width="7.28515625" style="220" customWidth="1"/>
    <col min="9708" max="9708" width="18.28515625" style="220" customWidth="1"/>
    <col min="9709" max="9709" width="23.42578125" style="220" bestFit="1" customWidth="1"/>
    <col min="9710" max="9711" width="10.140625" style="220" bestFit="1" customWidth="1"/>
    <col min="9712" max="9714" width="10.140625" style="220" customWidth="1"/>
    <col min="9715" max="9715" width="16.28515625" style="220" customWidth="1"/>
    <col min="9716" max="9716" width="20.28515625" style="220" bestFit="1" customWidth="1"/>
    <col min="9717" max="9719" width="20.28515625" style="220" customWidth="1"/>
    <col min="9720" max="9720" width="20.28515625" style="220" bestFit="1" customWidth="1"/>
    <col min="9721" max="9721" width="15.42578125" style="220" customWidth="1"/>
    <col min="9722" max="9722" width="20.28515625" style="220" bestFit="1" customWidth="1"/>
    <col min="9723" max="9725" width="20.28515625" style="220" customWidth="1"/>
    <col min="9726" max="9726" width="20.28515625" style="220" bestFit="1" customWidth="1"/>
    <col min="9727" max="9727" width="15.42578125" style="220" customWidth="1"/>
    <col min="9728" max="9728" width="20.7109375" style="220" bestFit="1" customWidth="1"/>
    <col min="9729" max="9731" width="20.7109375" style="220" customWidth="1"/>
    <col min="9732" max="9732" width="20.7109375" style="220" bestFit="1" customWidth="1"/>
    <col min="9733" max="9733" width="12.140625" style="220" customWidth="1"/>
    <col min="9734" max="9962" width="8.7109375" style="220" customWidth="1"/>
    <col min="9963" max="9963" width="7.28515625" style="220" customWidth="1"/>
    <col min="9964" max="9964" width="18.28515625" style="220" customWidth="1"/>
    <col min="9965" max="9965" width="23.42578125" style="220" bestFit="1" customWidth="1"/>
    <col min="9966" max="9967" width="10.140625" style="220" bestFit="1" customWidth="1"/>
    <col min="9968" max="9970" width="10.140625" style="220" customWidth="1"/>
    <col min="9971" max="9971" width="16.28515625" style="220" customWidth="1"/>
    <col min="9972" max="9972" width="20.28515625" style="220" bestFit="1" customWidth="1"/>
    <col min="9973" max="9975" width="20.28515625" style="220" customWidth="1"/>
    <col min="9976" max="9976" width="20.28515625" style="220" bestFit="1" customWidth="1"/>
    <col min="9977" max="9977" width="15.42578125" style="220" customWidth="1"/>
    <col min="9978" max="9978" width="20.28515625" style="220" bestFit="1" customWidth="1"/>
    <col min="9979" max="9981" width="20.28515625" style="220" customWidth="1"/>
    <col min="9982" max="9982" width="20.28515625" style="220" bestFit="1" customWidth="1"/>
    <col min="9983" max="9983" width="15.42578125" style="220" customWidth="1"/>
    <col min="9984" max="9984" width="20.7109375" style="220" bestFit="1" customWidth="1"/>
    <col min="9985" max="9987" width="20.7109375" style="220" customWidth="1"/>
    <col min="9988" max="9988" width="20.7109375" style="220" bestFit="1" customWidth="1"/>
    <col min="9989" max="9989" width="12.140625" style="220" customWidth="1"/>
    <col min="9990" max="10218" width="8.7109375" style="220" customWidth="1"/>
    <col min="10219" max="10219" width="7.28515625" style="220" customWidth="1"/>
    <col min="10220" max="10220" width="18.28515625" style="220" customWidth="1"/>
    <col min="10221" max="10221" width="23.42578125" style="220" bestFit="1" customWidth="1"/>
    <col min="10222" max="10223" width="10.140625" style="220" bestFit="1" customWidth="1"/>
    <col min="10224" max="10226" width="10.140625" style="220" customWidth="1"/>
    <col min="10227" max="10227" width="16.28515625" style="220" customWidth="1"/>
    <col min="10228" max="10228" width="20.28515625" style="220" bestFit="1" customWidth="1"/>
    <col min="10229" max="10231" width="20.28515625" style="220" customWidth="1"/>
    <col min="10232" max="10232" width="20.28515625" style="220" bestFit="1" customWidth="1"/>
    <col min="10233" max="10233" width="15.42578125" style="220" customWidth="1"/>
    <col min="10234" max="10234" width="20.28515625" style="220" bestFit="1" customWidth="1"/>
    <col min="10235" max="10237" width="20.28515625" style="220" customWidth="1"/>
    <col min="10238" max="10238" width="20.28515625" style="220" bestFit="1" customWidth="1"/>
    <col min="10239" max="10239" width="15.42578125" style="220" customWidth="1"/>
    <col min="10240" max="10240" width="20.7109375" style="220" bestFit="1" customWidth="1"/>
    <col min="10241" max="10243" width="20.7109375" style="220" customWidth="1"/>
    <col min="10244" max="10244" width="20.7109375" style="220" bestFit="1" customWidth="1"/>
    <col min="10245" max="10245" width="12.140625" style="220" customWidth="1"/>
    <col min="10246" max="10474" width="8.7109375" style="220" customWidth="1"/>
    <col min="10475" max="10475" width="7.28515625" style="220" customWidth="1"/>
    <col min="10476" max="10476" width="18.28515625" style="220" customWidth="1"/>
    <col min="10477" max="10477" width="23.42578125" style="220" bestFit="1" customWidth="1"/>
    <col min="10478" max="10479" width="10.140625" style="220" bestFit="1" customWidth="1"/>
    <col min="10480" max="10482" width="10.140625" style="220" customWidth="1"/>
    <col min="10483" max="10483" width="16.28515625" style="220" customWidth="1"/>
    <col min="10484" max="10484" width="20.28515625" style="220" bestFit="1" customWidth="1"/>
    <col min="10485" max="10487" width="20.28515625" style="220" customWidth="1"/>
    <col min="10488" max="10488" width="20.28515625" style="220" bestFit="1" customWidth="1"/>
    <col min="10489" max="10489" width="15.42578125" style="220" customWidth="1"/>
    <col min="10490" max="10490" width="20.28515625" style="220" bestFit="1" customWidth="1"/>
    <col min="10491" max="10493" width="20.28515625" style="220" customWidth="1"/>
    <col min="10494" max="10494" width="20.28515625" style="220" bestFit="1" customWidth="1"/>
    <col min="10495" max="10495" width="15.42578125" style="220" customWidth="1"/>
    <col min="10496" max="10496" width="20.7109375" style="220" bestFit="1" customWidth="1"/>
    <col min="10497" max="10499" width="20.7109375" style="220" customWidth="1"/>
    <col min="10500" max="10500" width="20.7109375" style="220" bestFit="1" customWidth="1"/>
    <col min="10501" max="10501" width="12.140625" style="220" customWidth="1"/>
    <col min="10502" max="10730" width="8.7109375" style="220" customWidth="1"/>
    <col min="10731" max="10731" width="7.28515625" style="220" customWidth="1"/>
    <col min="10732" max="10732" width="18.28515625" style="220" customWidth="1"/>
    <col min="10733" max="10733" width="23.42578125" style="220" bestFit="1" customWidth="1"/>
    <col min="10734" max="10735" width="10.140625" style="220" bestFit="1" customWidth="1"/>
    <col min="10736" max="10738" width="10.140625" style="220" customWidth="1"/>
    <col min="10739" max="10739" width="16.28515625" style="220" customWidth="1"/>
    <col min="10740" max="10740" width="20.28515625" style="220" bestFit="1" customWidth="1"/>
    <col min="10741" max="10743" width="20.28515625" style="220" customWidth="1"/>
    <col min="10744" max="10744" width="20.28515625" style="220" bestFit="1" customWidth="1"/>
    <col min="10745" max="10745" width="15.42578125" style="220" customWidth="1"/>
    <col min="10746" max="10746" width="20.28515625" style="220" bestFit="1" customWidth="1"/>
    <col min="10747" max="10749" width="20.28515625" style="220" customWidth="1"/>
    <col min="10750" max="10750" width="20.28515625" style="220" bestFit="1" customWidth="1"/>
    <col min="10751" max="10751" width="15.42578125" style="220" customWidth="1"/>
    <col min="10752" max="10752" width="20.7109375" style="220" bestFit="1" customWidth="1"/>
    <col min="10753" max="10755" width="20.7109375" style="220" customWidth="1"/>
    <col min="10756" max="10756" width="20.7109375" style="220" bestFit="1" customWidth="1"/>
    <col min="10757" max="10757" width="12.140625" style="220" customWidth="1"/>
    <col min="10758" max="10986" width="8.7109375" style="220" customWidth="1"/>
    <col min="10987" max="10987" width="7.28515625" style="220" customWidth="1"/>
    <col min="10988" max="10988" width="18.28515625" style="220" customWidth="1"/>
    <col min="10989" max="10989" width="23.42578125" style="220" bestFit="1" customWidth="1"/>
    <col min="10990" max="10991" width="10.140625" style="220" bestFit="1" customWidth="1"/>
    <col min="10992" max="10994" width="10.140625" style="220" customWidth="1"/>
    <col min="10995" max="10995" width="16.28515625" style="220" customWidth="1"/>
    <col min="10996" max="10996" width="20.28515625" style="220" bestFit="1" customWidth="1"/>
    <col min="10997" max="10999" width="20.28515625" style="220" customWidth="1"/>
    <col min="11000" max="11000" width="20.28515625" style="220" bestFit="1" customWidth="1"/>
    <col min="11001" max="11001" width="15.42578125" style="220" customWidth="1"/>
    <col min="11002" max="11002" width="20.28515625" style="220" bestFit="1" customWidth="1"/>
    <col min="11003" max="11005" width="20.28515625" style="220" customWidth="1"/>
    <col min="11006" max="11006" width="20.28515625" style="220" bestFit="1" customWidth="1"/>
    <col min="11007" max="11007" width="15.42578125" style="220" customWidth="1"/>
    <col min="11008" max="11008" width="20.7109375" style="220" bestFit="1" customWidth="1"/>
    <col min="11009" max="11011" width="20.7109375" style="220" customWidth="1"/>
    <col min="11012" max="11012" width="20.7109375" style="220" bestFit="1" customWidth="1"/>
    <col min="11013" max="11013" width="12.140625" style="220" customWidth="1"/>
    <col min="11014" max="11242" width="8.7109375" style="220" customWidth="1"/>
    <col min="11243" max="11243" width="7.28515625" style="220" customWidth="1"/>
    <col min="11244" max="11244" width="18.28515625" style="220" customWidth="1"/>
    <col min="11245" max="11245" width="23.42578125" style="220" bestFit="1" customWidth="1"/>
    <col min="11246" max="11247" width="10.140625" style="220" bestFit="1" customWidth="1"/>
    <col min="11248" max="11250" width="10.140625" style="220" customWidth="1"/>
    <col min="11251" max="11251" width="16.28515625" style="220" customWidth="1"/>
    <col min="11252" max="11252" width="20.28515625" style="220" bestFit="1" customWidth="1"/>
    <col min="11253" max="11255" width="20.28515625" style="220" customWidth="1"/>
    <col min="11256" max="11256" width="20.28515625" style="220" bestFit="1" customWidth="1"/>
    <col min="11257" max="11257" width="15.42578125" style="220" customWidth="1"/>
    <col min="11258" max="11258" width="20.28515625" style="220" bestFit="1" customWidth="1"/>
    <col min="11259" max="11261" width="20.28515625" style="220" customWidth="1"/>
    <col min="11262" max="11262" width="20.28515625" style="220" bestFit="1" customWidth="1"/>
    <col min="11263" max="11263" width="15.42578125" style="220" customWidth="1"/>
    <col min="11264" max="11264" width="20.7109375" style="220" bestFit="1" customWidth="1"/>
    <col min="11265" max="11267" width="20.7109375" style="220" customWidth="1"/>
    <col min="11268" max="11268" width="20.7109375" style="220" bestFit="1" customWidth="1"/>
    <col min="11269" max="11269" width="12.140625" style="220" customWidth="1"/>
    <col min="11270" max="11498" width="8.7109375" style="220" customWidth="1"/>
    <col min="11499" max="11499" width="7.28515625" style="220" customWidth="1"/>
    <col min="11500" max="11500" width="18.28515625" style="220" customWidth="1"/>
    <col min="11501" max="11501" width="23.42578125" style="220" bestFit="1" customWidth="1"/>
    <col min="11502" max="11503" width="10.140625" style="220" bestFit="1" customWidth="1"/>
    <col min="11504" max="11506" width="10.140625" style="220" customWidth="1"/>
    <col min="11507" max="11507" width="16.28515625" style="220" customWidth="1"/>
    <col min="11508" max="11508" width="20.28515625" style="220" bestFit="1" customWidth="1"/>
    <col min="11509" max="11511" width="20.28515625" style="220" customWidth="1"/>
    <col min="11512" max="11512" width="20.28515625" style="220" bestFit="1" customWidth="1"/>
    <col min="11513" max="11513" width="15.42578125" style="220" customWidth="1"/>
    <col min="11514" max="11514" width="20.28515625" style="220" bestFit="1" customWidth="1"/>
    <col min="11515" max="11517" width="20.28515625" style="220" customWidth="1"/>
    <col min="11518" max="11518" width="20.28515625" style="220" bestFit="1" customWidth="1"/>
    <col min="11519" max="11519" width="15.42578125" style="220" customWidth="1"/>
    <col min="11520" max="11520" width="20.7109375" style="220" bestFit="1" customWidth="1"/>
    <col min="11521" max="11523" width="20.7109375" style="220" customWidth="1"/>
    <col min="11524" max="11524" width="20.7109375" style="220" bestFit="1" customWidth="1"/>
    <col min="11525" max="11525" width="12.140625" style="220" customWidth="1"/>
    <col min="11526" max="11754" width="8.7109375" style="220" customWidth="1"/>
    <col min="11755" max="11755" width="7.28515625" style="220" customWidth="1"/>
    <col min="11756" max="11756" width="18.28515625" style="220" customWidth="1"/>
    <col min="11757" max="11757" width="23.42578125" style="220" bestFit="1" customWidth="1"/>
    <col min="11758" max="11759" width="10.140625" style="220" bestFit="1" customWidth="1"/>
    <col min="11760" max="11762" width="10.140625" style="220" customWidth="1"/>
    <col min="11763" max="11763" width="16.28515625" style="220" customWidth="1"/>
    <col min="11764" max="11764" width="20.28515625" style="220" bestFit="1" customWidth="1"/>
    <col min="11765" max="11767" width="20.28515625" style="220" customWidth="1"/>
    <col min="11768" max="11768" width="20.28515625" style="220" bestFit="1" customWidth="1"/>
    <col min="11769" max="11769" width="15.42578125" style="220" customWidth="1"/>
    <col min="11770" max="11770" width="20.28515625" style="220" bestFit="1" customWidth="1"/>
    <col min="11771" max="11773" width="20.28515625" style="220" customWidth="1"/>
    <col min="11774" max="11774" width="20.28515625" style="220" bestFit="1" customWidth="1"/>
    <col min="11775" max="11775" width="15.42578125" style="220" customWidth="1"/>
    <col min="11776" max="11776" width="20.7109375" style="220" bestFit="1" customWidth="1"/>
    <col min="11777" max="11779" width="20.7109375" style="220" customWidth="1"/>
    <col min="11780" max="11780" width="20.7109375" style="220" bestFit="1" customWidth="1"/>
    <col min="11781" max="11781" width="12.140625" style="220" customWidth="1"/>
    <col min="11782" max="12010" width="8.7109375" style="220" customWidth="1"/>
    <col min="12011" max="12011" width="7.28515625" style="220" customWidth="1"/>
    <col min="12012" max="12012" width="18.28515625" style="220" customWidth="1"/>
    <col min="12013" max="12013" width="23.42578125" style="220" bestFit="1" customWidth="1"/>
    <col min="12014" max="12015" width="10.140625" style="220" bestFit="1" customWidth="1"/>
    <col min="12016" max="12018" width="10.140625" style="220" customWidth="1"/>
    <col min="12019" max="12019" width="16.28515625" style="220" customWidth="1"/>
    <col min="12020" max="12020" width="20.28515625" style="220" bestFit="1" customWidth="1"/>
    <col min="12021" max="12023" width="20.28515625" style="220" customWidth="1"/>
    <col min="12024" max="12024" width="20.28515625" style="220" bestFit="1" customWidth="1"/>
    <col min="12025" max="12025" width="15.42578125" style="220" customWidth="1"/>
    <col min="12026" max="12026" width="20.28515625" style="220" bestFit="1" customWidth="1"/>
    <col min="12027" max="12029" width="20.28515625" style="220" customWidth="1"/>
    <col min="12030" max="12030" width="20.28515625" style="220" bestFit="1" customWidth="1"/>
    <col min="12031" max="12031" width="15.42578125" style="220" customWidth="1"/>
    <col min="12032" max="12032" width="20.7109375" style="220" bestFit="1" customWidth="1"/>
    <col min="12033" max="12035" width="20.7109375" style="220" customWidth="1"/>
    <col min="12036" max="12036" width="20.7109375" style="220" bestFit="1" customWidth="1"/>
    <col min="12037" max="12037" width="12.140625" style="220" customWidth="1"/>
    <col min="12038" max="12266" width="8.7109375" style="220" customWidth="1"/>
    <col min="12267" max="12267" width="7.28515625" style="220" customWidth="1"/>
    <col min="12268" max="12268" width="18.28515625" style="220" customWidth="1"/>
    <col min="12269" max="12269" width="23.42578125" style="220" bestFit="1" customWidth="1"/>
    <col min="12270" max="12271" width="10.140625" style="220" bestFit="1" customWidth="1"/>
    <col min="12272" max="12274" width="10.140625" style="220" customWidth="1"/>
    <col min="12275" max="12275" width="16.28515625" style="220" customWidth="1"/>
    <col min="12276" max="12276" width="20.28515625" style="220" bestFit="1" customWidth="1"/>
    <col min="12277" max="12279" width="20.28515625" style="220" customWidth="1"/>
    <col min="12280" max="12280" width="20.28515625" style="220" bestFit="1" customWidth="1"/>
    <col min="12281" max="12281" width="15.42578125" style="220" customWidth="1"/>
    <col min="12282" max="12282" width="20.28515625" style="220" bestFit="1" customWidth="1"/>
    <col min="12283" max="12285" width="20.28515625" style="220" customWidth="1"/>
    <col min="12286" max="12286" width="20.28515625" style="220" bestFit="1" customWidth="1"/>
    <col min="12287" max="12287" width="15.42578125" style="220" customWidth="1"/>
    <col min="12288" max="12288" width="20.7109375" style="220" bestFit="1" customWidth="1"/>
    <col min="12289" max="12291" width="20.7109375" style="220" customWidth="1"/>
    <col min="12292" max="12292" width="20.7109375" style="220" bestFit="1" customWidth="1"/>
    <col min="12293" max="12293" width="12.140625" style="220" customWidth="1"/>
    <col min="12294" max="12522" width="8.7109375" style="220" customWidth="1"/>
    <col min="12523" max="12523" width="7.28515625" style="220" customWidth="1"/>
    <col min="12524" max="12524" width="18.28515625" style="220" customWidth="1"/>
    <col min="12525" max="12525" width="23.42578125" style="220" bestFit="1" customWidth="1"/>
    <col min="12526" max="12527" width="10.140625" style="220" bestFit="1" customWidth="1"/>
    <col min="12528" max="12530" width="10.140625" style="220" customWidth="1"/>
    <col min="12531" max="12531" width="16.28515625" style="220" customWidth="1"/>
    <col min="12532" max="12532" width="20.28515625" style="220" bestFit="1" customWidth="1"/>
    <col min="12533" max="12535" width="20.28515625" style="220" customWidth="1"/>
    <col min="12536" max="12536" width="20.28515625" style="220" bestFit="1" customWidth="1"/>
    <col min="12537" max="12537" width="15.42578125" style="220" customWidth="1"/>
    <col min="12538" max="12538" width="20.28515625" style="220" bestFit="1" customWidth="1"/>
    <col min="12539" max="12541" width="20.28515625" style="220" customWidth="1"/>
    <col min="12542" max="12542" width="20.28515625" style="220" bestFit="1" customWidth="1"/>
    <col min="12543" max="12543" width="15.42578125" style="220" customWidth="1"/>
    <col min="12544" max="12544" width="20.7109375" style="220" bestFit="1" customWidth="1"/>
    <col min="12545" max="12547" width="20.7109375" style="220" customWidth="1"/>
    <col min="12548" max="12548" width="20.7109375" style="220" bestFit="1" customWidth="1"/>
    <col min="12549" max="12549" width="12.140625" style="220" customWidth="1"/>
    <col min="12550" max="12778" width="8.7109375" style="220" customWidth="1"/>
    <col min="12779" max="12779" width="7.28515625" style="220" customWidth="1"/>
    <col min="12780" max="12780" width="18.28515625" style="220" customWidth="1"/>
    <col min="12781" max="12781" width="23.42578125" style="220" bestFit="1" customWidth="1"/>
    <col min="12782" max="12783" width="10.140625" style="220" bestFit="1" customWidth="1"/>
    <col min="12784" max="12786" width="10.140625" style="220" customWidth="1"/>
    <col min="12787" max="12787" width="16.28515625" style="220" customWidth="1"/>
    <col min="12788" max="12788" width="20.28515625" style="220" bestFit="1" customWidth="1"/>
    <col min="12789" max="12791" width="20.28515625" style="220" customWidth="1"/>
    <col min="12792" max="12792" width="20.28515625" style="220" bestFit="1" customWidth="1"/>
    <col min="12793" max="12793" width="15.42578125" style="220" customWidth="1"/>
    <col min="12794" max="12794" width="20.28515625" style="220" bestFit="1" customWidth="1"/>
    <col min="12795" max="12797" width="20.28515625" style="220" customWidth="1"/>
    <col min="12798" max="12798" width="20.28515625" style="220" bestFit="1" customWidth="1"/>
    <col min="12799" max="12799" width="15.42578125" style="220" customWidth="1"/>
    <col min="12800" max="12800" width="20.7109375" style="220" bestFit="1" customWidth="1"/>
    <col min="12801" max="12803" width="20.7109375" style="220" customWidth="1"/>
    <col min="12804" max="12804" width="20.7109375" style="220" bestFit="1" customWidth="1"/>
    <col min="12805" max="12805" width="12.140625" style="220" customWidth="1"/>
    <col min="12806" max="13034" width="8.7109375" style="220" customWidth="1"/>
    <col min="13035" max="13035" width="7.28515625" style="220" customWidth="1"/>
    <col min="13036" max="13036" width="18.28515625" style="220" customWidth="1"/>
    <col min="13037" max="13037" width="23.42578125" style="220" bestFit="1" customWidth="1"/>
    <col min="13038" max="13039" width="10.140625" style="220" bestFit="1" customWidth="1"/>
    <col min="13040" max="13042" width="10.140625" style="220" customWidth="1"/>
    <col min="13043" max="13043" width="16.28515625" style="220" customWidth="1"/>
    <col min="13044" max="13044" width="20.28515625" style="220" bestFit="1" customWidth="1"/>
    <col min="13045" max="13047" width="20.28515625" style="220" customWidth="1"/>
    <col min="13048" max="13048" width="20.28515625" style="220" bestFit="1" customWidth="1"/>
    <col min="13049" max="13049" width="15.42578125" style="220" customWidth="1"/>
    <col min="13050" max="13050" width="20.28515625" style="220" bestFit="1" customWidth="1"/>
    <col min="13051" max="13053" width="20.28515625" style="220" customWidth="1"/>
    <col min="13054" max="13054" width="20.28515625" style="220" bestFit="1" customWidth="1"/>
    <col min="13055" max="13055" width="15.42578125" style="220" customWidth="1"/>
    <col min="13056" max="13056" width="20.7109375" style="220" bestFit="1" customWidth="1"/>
    <col min="13057" max="13059" width="20.7109375" style="220" customWidth="1"/>
    <col min="13060" max="13060" width="20.7109375" style="220" bestFit="1" customWidth="1"/>
    <col min="13061" max="13061" width="12.140625" style="220" customWidth="1"/>
    <col min="13062" max="13290" width="8.7109375" style="220" customWidth="1"/>
    <col min="13291" max="13291" width="7.28515625" style="220" customWidth="1"/>
    <col min="13292" max="13292" width="18.28515625" style="220" customWidth="1"/>
    <col min="13293" max="13293" width="23.42578125" style="220" bestFit="1" customWidth="1"/>
    <col min="13294" max="13295" width="10.140625" style="220" bestFit="1" customWidth="1"/>
    <col min="13296" max="13298" width="10.140625" style="220" customWidth="1"/>
    <col min="13299" max="13299" width="16.28515625" style="220" customWidth="1"/>
    <col min="13300" max="13300" width="20.28515625" style="220" bestFit="1" customWidth="1"/>
    <col min="13301" max="13303" width="20.28515625" style="220" customWidth="1"/>
    <col min="13304" max="13304" width="20.28515625" style="220" bestFit="1" customWidth="1"/>
    <col min="13305" max="13305" width="15.42578125" style="220" customWidth="1"/>
    <col min="13306" max="13306" width="20.28515625" style="220" bestFit="1" customWidth="1"/>
    <col min="13307" max="13309" width="20.28515625" style="220" customWidth="1"/>
    <col min="13310" max="13310" width="20.28515625" style="220" bestFit="1" customWidth="1"/>
    <col min="13311" max="13311" width="15.42578125" style="220" customWidth="1"/>
    <col min="13312" max="13312" width="20.7109375" style="220" bestFit="1" customWidth="1"/>
    <col min="13313" max="13315" width="20.7109375" style="220" customWidth="1"/>
    <col min="13316" max="13316" width="20.7109375" style="220" bestFit="1" customWidth="1"/>
    <col min="13317" max="13317" width="12.140625" style="220" customWidth="1"/>
    <col min="13318" max="13546" width="8.7109375" style="220" customWidth="1"/>
    <col min="13547" max="13547" width="7.28515625" style="220" customWidth="1"/>
    <col min="13548" max="13548" width="18.28515625" style="220" customWidth="1"/>
    <col min="13549" max="13549" width="23.42578125" style="220" bestFit="1" customWidth="1"/>
    <col min="13550" max="13551" width="10.140625" style="220" bestFit="1" customWidth="1"/>
    <col min="13552" max="13554" width="10.140625" style="220" customWidth="1"/>
    <col min="13555" max="13555" width="16.28515625" style="220" customWidth="1"/>
    <col min="13556" max="13556" width="20.28515625" style="220" bestFit="1" customWidth="1"/>
    <col min="13557" max="13559" width="20.28515625" style="220" customWidth="1"/>
    <col min="13560" max="13560" width="20.28515625" style="220" bestFit="1" customWidth="1"/>
    <col min="13561" max="13561" width="15.42578125" style="220" customWidth="1"/>
    <col min="13562" max="13562" width="20.28515625" style="220" bestFit="1" customWidth="1"/>
    <col min="13563" max="13565" width="20.28515625" style="220" customWidth="1"/>
    <col min="13566" max="13566" width="20.28515625" style="220" bestFit="1" customWidth="1"/>
    <col min="13567" max="13567" width="15.42578125" style="220" customWidth="1"/>
    <col min="13568" max="13568" width="20.7109375" style="220" bestFit="1" customWidth="1"/>
    <col min="13569" max="13571" width="20.7109375" style="220" customWidth="1"/>
    <col min="13572" max="13572" width="20.7109375" style="220" bestFit="1" customWidth="1"/>
    <col min="13573" max="13573" width="12.140625" style="220" customWidth="1"/>
    <col min="13574" max="13802" width="8.7109375" style="220" customWidth="1"/>
    <col min="13803" max="13803" width="7.28515625" style="220" customWidth="1"/>
    <col min="13804" max="13804" width="18.28515625" style="220" customWidth="1"/>
    <col min="13805" max="13805" width="23.42578125" style="220" bestFit="1" customWidth="1"/>
    <col min="13806" max="13807" width="10.140625" style="220" bestFit="1" customWidth="1"/>
    <col min="13808" max="13810" width="10.140625" style="220" customWidth="1"/>
    <col min="13811" max="13811" width="16.28515625" style="220" customWidth="1"/>
    <col min="13812" max="13812" width="20.28515625" style="220" bestFit="1" customWidth="1"/>
    <col min="13813" max="13815" width="20.28515625" style="220" customWidth="1"/>
    <col min="13816" max="13816" width="20.28515625" style="220" bestFit="1" customWidth="1"/>
    <col min="13817" max="13817" width="15.42578125" style="220" customWidth="1"/>
    <col min="13818" max="13818" width="20.28515625" style="220" bestFit="1" customWidth="1"/>
    <col min="13819" max="13821" width="20.28515625" style="220" customWidth="1"/>
    <col min="13822" max="13822" width="20.28515625" style="220" bestFit="1" customWidth="1"/>
    <col min="13823" max="13823" width="15.42578125" style="220" customWidth="1"/>
    <col min="13824" max="13824" width="20.7109375" style="220" bestFit="1" customWidth="1"/>
    <col min="13825" max="13827" width="20.7109375" style="220" customWidth="1"/>
    <col min="13828" max="13828" width="20.7109375" style="220" bestFit="1" customWidth="1"/>
    <col min="13829" max="13829" width="12.140625" style="220" customWidth="1"/>
    <col min="13830" max="14058" width="8.7109375" style="220" customWidth="1"/>
    <col min="14059" max="14059" width="7.28515625" style="220" customWidth="1"/>
    <col min="14060" max="14060" width="18.28515625" style="220" customWidth="1"/>
    <col min="14061" max="14061" width="23.42578125" style="220" bestFit="1" customWidth="1"/>
    <col min="14062" max="14063" width="10.140625" style="220" bestFit="1" customWidth="1"/>
    <col min="14064" max="14066" width="10.140625" style="220" customWidth="1"/>
    <col min="14067" max="14067" width="16.28515625" style="220" customWidth="1"/>
    <col min="14068" max="14068" width="20.28515625" style="220" bestFit="1" customWidth="1"/>
    <col min="14069" max="14071" width="20.28515625" style="220" customWidth="1"/>
    <col min="14072" max="14072" width="20.28515625" style="220" bestFit="1" customWidth="1"/>
    <col min="14073" max="14073" width="15.42578125" style="220" customWidth="1"/>
    <col min="14074" max="14074" width="20.28515625" style="220" bestFit="1" customWidth="1"/>
    <col min="14075" max="14077" width="20.28515625" style="220" customWidth="1"/>
    <col min="14078" max="14078" width="20.28515625" style="220" bestFit="1" customWidth="1"/>
    <col min="14079" max="14079" width="15.42578125" style="220" customWidth="1"/>
    <col min="14080" max="14080" width="20.7109375" style="220" bestFit="1" customWidth="1"/>
    <col min="14081" max="14083" width="20.7109375" style="220" customWidth="1"/>
    <col min="14084" max="14084" width="20.7109375" style="220" bestFit="1" customWidth="1"/>
    <col min="14085" max="14085" width="12.140625" style="220" customWidth="1"/>
    <col min="14086" max="14314" width="8.7109375" style="220" customWidth="1"/>
    <col min="14315" max="14315" width="7.28515625" style="220" customWidth="1"/>
    <col min="14316" max="14316" width="18.28515625" style="220" customWidth="1"/>
    <col min="14317" max="14317" width="23.42578125" style="220" bestFit="1" customWidth="1"/>
    <col min="14318" max="14319" width="10.140625" style="220" bestFit="1" customWidth="1"/>
    <col min="14320" max="14322" width="10.140625" style="220" customWidth="1"/>
    <col min="14323" max="14323" width="16.28515625" style="220" customWidth="1"/>
    <col min="14324" max="14324" width="20.28515625" style="220" bestFit="1" customWidth="1"/>
    <col min="14325" max="14327" width="20.28515625" style="220" customWidth="1"/>
    <col min="14328" max="14328" width="20.28515625" style="220" bestFit="1" customWidth="1"/>
    <col min="14329" max="14329" width="15.42578125" style="220" customWidth="1"/>
    <col min="14330" max="14330" width="20.28515625" style="220" bestFit="1" customWidth="1"/>
    <col min="14331" max="14333" width="20.28515625" style="220" customWidth="1"/>
    <col min="14334" max="14334" width="20.28515625" style="220" bestFit="1" customWidth="1"/>
    <col min="14335" max="14335" width="15.42578125" style="220" customWidth="1"/>
    <col min="14336" max="14336" width="20.7109375" style="220" bestFit="1" customWidth="1"/>
    <col min="14337" max="14339" width="20.7109375" style="220" customWidth="1"/>
    <col min="14340" max="14340" width="20.7109375" style="220" bestFit="1" customWidth="1"/>
    <col min="14341" max="14341" width="12.140625" style="220" customWidth="1"/>
    <col min="14342" max="14570" width="8.7109375" style="220" customWidth="1"/>
    <col min="14571" max="14571" width="7.28515625" style="220" customWidth="1"/>
    <col min="14572" max="14572" width="18.28515625" style="220" customWidth="1"/>
    <col min="14573" max="14573" width="23.42578125" style="220" bestFit="1" customWidth="1"/>
    <col min="14574" max="14575" width="10.140625" style="220" bestFit="1" customWidth="1"/>
    <col min="14576" max="14578" width="10.140625" style="220" customWidth="1"/>
    <col min="14579" max="14579" width="16.28515625" style="220" customWidth="1"/>
    <col min="14580" max="14580" width="20.28515625" style="220" bestFit="1" customWidth="1"/>
    <col min="14581" max="14583" width="20.28515625" style="220" customWidth="1"/>
    <col min="14584" max="14584" width="20.28515625" style="220" bestFit="1" customWidth="1"/>
    <col min="14585" max="14585" width="15.42578125" style="220" customWidth="1"/>
    <col min="14586" max="14586" width="20.28515625" style="220" bestFit="1" customWidth="1"/>
    <col min="14587" max="14589" width="20.28515625" style="220" customWidth="1"/>
    <col min="14590" max="14590" width="20.28515625" style="220" bestFit="1" customWidth="1"/>
    <col min="14591" max="14591" width="15.42578125" style="220" customWidth="1"/>
    <col min="14592" max="14592" width="20.7109375" style="220" bestFit="1" customWidth="1"/>
    <col min="14593" max="14595" width="20.7109375" style="220" customWidth="1"/>
    <col min="14596" max="14596" width="20.7109375" style="220" bestFit="1" customWidth="1"/>
    <col min="14597" max="14597" width="12.140625" style="220" customWidth="1"/>
    <col min="14598" max="14826" width="8.7109375" style="220" customWidth="1"/>
    <col min="14827" max="14827" width="7.28515625" style="220" customWidth="1"/>
    <col min="14828" max="14828" width="18.28515625" style="220" customWidth="1"/>
    <col min="14829" max="14829" width="23.42578125" style="220" bestFit="1" customWidth="1"/>
    <col min="14830" max="14831" width="10.140625" style="220" bestFit="1" customWidth="1"/>
    <col min="14832" max="14834" width="10.140625" style="220" customWidth="1"/>
    <col min="14835" max="14835" width="16.28515625" style="220" customWidth="1"/>
    <col min="14836" max="14836" width="20.28515625" style="220" bestFit="1" customWidth="1"/>
    <col min="14837" max="14839" width="20.28515625" style="220" customWidth="1"/>
    <col min="14840" max="14840" width="20.28515625" style="220" bestFit="1" customWidth="1"/>
    <col min="14841" max="14841" width="15.42578125" style="220" customWidth="1"/>
    <col min="14842" max="14842" width="20.28515625" style="220" bestFit="1" customWidth="1"/>
    <col min="14843" max="14845" width="20.28515625" style="220" customWidth="1"/>
    <col min="14846" max="14846" width="20.28515625" style="220" bestFit="1" customWidth="1"/>
    <col min="14847" max="14847" width="15.42578125" style="220" customWidth="1"/>
    <col min="14848" max="14848" width="20.7109375" style="220" bestFit="1" customWidth="1"/>
    <col min="14849" max="14851" width="20.7109375" style="220" customWidth="1"/>
    <col min="14852" max="14852" width="20.7109375" style="220" bestFit="1" customWidth="1"/>
    <col min="14853" max="14853" width="12.140625" style="220" customWidth="1"/>
    <col min="14854" max="15082" width="8.7109375" style="220" customWidth="1"/>
    <col min="15083" max="15083" width="7.28515625" style="220" customWidth="1"/>
    <col min="15084" max="15084" width="18.28515625" style="220" customWidth="1"/>
    <col min="15085" max="15085" width="23.42578125" style="220" bestFit="1" customWidth="1"/>
    <col min="15086" max="15087" width="10.140625" style="220" bestFit="1" customWidth="1"/>
    <col min="15088" max="15090" width="10.140625" style="220" customWidth="1"/>
    <col min="15091" max="15091" width="16.28515625" style="220" customWidth="1"/>
    <col min="15092" max="15092" width="20.28515625" style="220" bestFit="1" customWidth="1"/>
    <col min="15093" max="15095" width="20.28515625" style="220" customWidth="1"/>
    <col min="15096" max="15096" width="20.28515625" style="220" bestFit="1" customWidth="1"/>
    <col min="15097" max="15097" width="15.42578125" style="220" customWidth="1"/>
    <col min="15098" max="15098" width="20.28515625" style="220" bestFit="1" customWidth="1"/>
    <col min="15099" max="15101" width="20.28515625" style="220" customWidth="1"/>
    <col min="15102" max="15102" width="20.28515625" style="220" bestFit="1" customWidth="1"/>
    <col min="15103" max="15103" width="15.42578125" style="220" customWidth="1"/>
    <col min="15104" max="15104" width="20.7109375" style="220" bestFit="1" customWidth="1"/>
    <col min="15105" max="15107" width="20.7109375" style="220" customWidth="1"/>
    <col min="15108" max="15108" width="20.7109375" style="220" bestFit="1" customWidth="1"/>
    <col min="15109" max="15109" width="12.140625" style="220" customWidth="1"/>
    <col min="15110" max="15338" width="8.7109375" style="220" customWidth="1"/>
    <col min="15339" max="15339" width="7.28515625" style="220" customWidth="1"/>
    <col min="15340" max="15340" width="18.28515625" style="220" customWidth="1"/>
    <col min="15341" max="15341" width="23.42578125" style="220" bestFit="1" customWidth="1"/>
    <col min="15342" max="15343" width="10.140625" style="220" bestFit="1" customWidth="1"/>
    <col min="15344" max="15346" width="10.140625" style="220" customWidth="1"/>
    <col min="15347" max="15347" width="16.28515625" style="220" customWidth="1"/>
    <col min="15348" max="15348" width="20.28515625" style="220" bestFit="1" customWidth="1"/>
    <col min="15349" max="15351" width="20.28515625" style="220" customWidth="1"/>
    <col min="15352" max="15352" width="20.28515625" style="220" bestFit="1" customWidth="1"/>
    <col min="15353" max="15353" width="15.42578125" style="220" customWidth="1"/>
    <col min="15354" max="15354" width="20.28515625" style="220" bestFit="1" customWidth="1"/>
    <col min="15355" max="15357" width="20.28515625" style="220" customWidth="1"/>
    <col min="15358" max="15358" width="20.28515625" style="220" bestFit="1" customWidth="1"/>
    <col min="15359" max="15359" width="15.42578125" style="220" customWidth="1"/>
    <col min="15360" max="15360" width="20.7109375" style="220" bestFit="1" customWidth="1"/>
    <col min="15361" max="15363" width="20.7109375" style="220" customWidth="1"/>
    <col min="15364" max="15364" width="20.7109375" style="220" bestFit="1" customWidth="1"/>
    <col min="15365" max="15365" width="12.140625" style="220" customWidth="1"/>
    <col min="15366" max="15594" width="8.7109375" style="220" customWidth="1"/>
    <col min="15595" max="15595" width="7.28515625" style="220" customWidth="1"/>
    <col min="15596" max="15596" width="18.28515625" style="220" customWidth="1"/>
    <col min="15597" max="15597" width="23.42578125" style="220" bestFit="1" customWidth="1"/>
    <col min="15598" max="15599" width="10.140625" style="220" bestFit="1" customWidth="1"/>
    <col min="15600" max="15602" width="10.140625" style="220" customWidth="1"/>
    <col min="15603" max="15603" width="16.28515625" style="220" customWidth="1"/>
    <col min="15604" max="15604" width="20.28515625" style="220" bestFit="1" customWidth="1"/>
    <col min="15605" max="15607" width="20.28515625" style="220" customWidth="1"/>
    <col min="15608" max="15608" width="20.28515625" style="220" bestFit="1" customWidth="1"/>
    <col min="15609" max="15609" width="15.42578125" style="220" customWidth="1"/>
    <col min="15610" max="15610" width="20.28515625" style="220" bestFit="1" customWidth="1"/>
    <col min="15611" max="15613" width="20.28515625" style="220" customWidth="1"/>
    <col min="15614" max="15614" width="20.28515625" style="220" bestFit="1" customWidth="1"/>
    <col min="15615" max="15615" width="15.42578125" style="220" customWidth="1"/>
    <col min="15616" max="15616" width="20.7109375" style="220" bestFit="1" customWidth="1"/>
    <col min="15617" max="15619" width="20.7109375" style="220" customWidth="1"/>
    <col min="15620" max="15620" width="20.7109375" style="220" bestFit="1" customWidth="1"/>
    <col min="15621" max="15621" width="12.140625" style="220" customWidth="1"/>
    <col min="15622" max="15850" width="8.7109375" style="220" customWidth="1"/>
    <col min="15851" max="15851" width="7.28515625" style="220" customWidth="1"/>
    <col min="15852" max="15852" width="18.28515625" style="220" customWidth="1"/>
    <col min="15853" max="15853" width="23.42578125" style="220" bestFit="1" customWidth="1"/>
    <col min="15854" max="15855" width="10.140625" style="220" bestFit="1" customWidth="1"/>
    <col min="15856" max="15858" width="10.140625" style="220" customWidth="1"/>
    <col min="15859" max="15859" width="16.28515625" style="220" customWidth="1"/>
    <col min="15860" max="15860" width="20.28515625" style="220" bestFit="1" customWidth="1"/>
    <col min="15861" max="15863" width="20.28515625" style="220" customWidth="1"/>
    <col min="15864" max="15864" width="20.28515625" style="220" bestFit="1" customWidth="1"/>
    <col min="15865" max="15865" width="15.42578125" style="220" customWidth="1"/>
    <col min="15866" max="15866" width="20.28515625" style="220" bestFit="1" customWidth="1"/>
    <col min="15867" max="15869" width="20.28515625" style="220" customWidth="1"/>
    <col min="15870" max="15870" width="20.28515625" style="220" bestFit="1" customWidth="1"/>
    <col min="15871" max="15871" width="15.42578125" style="220" customWidth="1"/>
    <col min="15872" max="15872" width="20.7109375" style="220" bestFit="1" customWidth="1"/>
    <col min="15873" max="15875" width="20.7109375" style="220" customWidth="1"/>
    <col min="15876" max="15876" width="20.7109375" style="220" bestFit="1" customWidth="1"/>
    <col min="15877" max="15877" width="12.140625" style="220" customWidth="1"/>
    <col min="15878" max="16106" width="8.7109375" style="220" customWidth="1"/>
    <col min="16107" max="16107" width="7.28515625" style="220" customWidth="1"/>
    <col min="16108" max="16108" width="18.28515625" style="220" customWidth="1"/>
    <col min="16109" max="16109" width="23.42578125" style="220" bestFit="1" customWidth="1"/>
    <col min="16110" max="16111" width="10.140625" style="220" bestFit="1" customWidth="1"/>
    <col min="16112" max="16114" width="10.140625" style="220" customWidth="1"/>
    <col min="16115" max="16115" width="16.28515625" style="220" customWidth="1"/>
    <col min="16116" max="16116" width="20.28515625" style="220" bestFit="1" customWidth="1"/>
    <col min="16117" max="16119" width="20.28515625" style="220" customWidth="1"/>
    <col min="16120" max="16120" width="20.28515625" style="220" bestFit="1" customWidth="1"/>
    <col min="16121" max="16121" width="15.42578125" style="220" customWidth="1"/>
    <col min="16122" max="16122" width="20.28515625" style="220" bestFit="1" customWidth="1"/>
    <col min="16123" max="16125" width="20.28515625" style="220" customWidth="1"/>
    <col min="16126" max="16126" width="20.28515625" style="220" bestFit="1" customWidth="1"/>
    <col min="16127" max="16127" width="15.42578125" style="220" customWidth="1"/>
    <col min="16128" max="16128" width="20.7109375" style="220" bestFit="1" customWidth="1"/>
    <col min="16129" max="16131" width="20.7109375" style="220" customWidth="1"/>
    <col min="16132" max="16132" width="20.7109375" style="220" bestFit="1" customWidth="1"/>
    <col min="16133" max="16133" width="12.140625" style="220" customWidth="1"/>
    <col min="16134" max="16384" width="8.7109375" style="220" customWidth="1"/>
  </cols>
  <sheetData>
    <row r="1" spans="1:17" s="194" customFormat="1"/>
    <row r="2" spans="1:17" s="194" customFormat="1" ht="13.5" thickBot="1"/>
    <row r="3" spans="1:17" s="194" customFormat="1" ht="13.5" thickBot="1">
      <c r="A3" s="338" t="s">
        <v>115</v>
      </c>
      <c r="B3" s="347" t="s">
        <v>314</v>
      </c>
      <c r="C3" s="342" t="s">
        <v>178</v>
      </c>
      <c r="D3" s="388" t="s">
        <v>343</v>
      </c>
      <c r="E3" s="389"/>
      <c r="F3" s="390"/>
      <c r="G3" s="391" t="s">
        <v>344</v>
      </c>
      <c r="H3" s="385"/>
      <c r="I3" s="385"/>
      <c r="J3" s="385"/>
      <c r="K3" s="391" t="s">
        <v>345</v>
      </c>
      <c r="L3" s="385"/>
      <c r="M3" s="386"/>
      <c r="N3" s="333" t="s">
        <v>346</v>
      </c>
      <c r="O3" s="333"/>
      <c r="P3" s="333"/>
      <c r="Q3" s="334"/>
    </row>
    <row r="4" spans="1:17" s="194" customFormat="1" ht="46.5" customHeight="1" thickBot="1">
      <c r="A4" s="339"/>
      <c r="B4" s="348"/>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316</v>
      </c>
      <c r="C5" s="200"/>
      <c r="D5" s="201"/>
      <c r="E5" s="202"/>
      <c r="F5" s="202"/>
      <c r="G5" s="202"/>
      <c r="H5" s="203"/>
      <c r="I5" s="204"/>
      <c r="J5" s="200"/>
      <c r="K5" s="205"/>
      <c r="L5" s="206"/>
      <c r="M5" s="206"/>
      <c r="N5" s="206"/>
      <c r="O5" s="206"/>
      <c r="P5" s="206"/>
      <c r="Q5" s="206"/>
    </row>
    <row r="6" spans="1:17" s="194" customFormat="1">
      <c r="A6" s="198">
        <v>2</v>
      </c>
      <c r="B6" s="199" t="s">
        <v>317</v>
      </c>
      <c r="C6" s="200"/>
      <c r="D6" s="201"/>
      <c r="E6" s="202"/>
      <c r="F6" s="202"/>
      <c r="G6" s="202"/>
      <c r="H6" s="203"/>
      <c r="I6" s="204"/>
      <c r="J6" s="200"/>
      <c r="K6" s="205"/>
      <c r="L6" s="206"/>
      <c r="M6" s="206"/>
      <c r="N6" s="206"/>
      <c r="O6" s="206"/>
      <c r="P6" s="206"/>
      <c r="Q6" s="206"/>
    </row>
    <row r="7" spans="1:17" s="194" customFormat="1">
      <c r="A7" s="198">
        <v>3</v>
      </c>
      <c r="B7" s="199" t="s">
        <v>315</v>
      </c>
      <c r="C7" s="200"/>
      <c r="D7" s="201"/>
      <c r="E7" s="202"/>
      <c r="F7" s="202"/>
      <c r="G7" s="202"/>
      <c r="H7" s="203"/>
      <c r="I7" s="204"/>
      <c r="J7" s="200"/>
      <c r="K7" s="205"/>
      <c r="L7" s="206"/>
      <c r="M7" s="206"/>
      <c r="N7" s="206"/>
      <c r="O7" s="206"/>
      <c r="P7" s="206"/>
      <c r="Q7" s="206"/>
    </row>
    <row r="8" spans="1:17" s="219" customFormat="1" ht="15" customHeight="1" thickBot="1">
      <c r="A8" s="344" t="s">
        <v>5</v>
      </c>
      <c r="B8" s="345"/>
      <c r="C8" s="346"/>
      <c r="D8" s="261"/>
      <c r="E8" s="262"/>
      <c r="F8" s="262"/>
      <c r="G8" s="262"/>
      <c r="H8" s="263"/>
      <c r="I8" s="264"/>
      <c r="J8" s="265"/>
      <c r="K8" s="266"/>
      <c r="L8" s="267"/>
      <c r="M8" s="267"/>
      <c r="N8" s="267"/>
      <c r="O8" s="268"/>
      <c r="P8" s="268"/>
      <c r="Q8" s="268"/>
    </row>
  </sheetData>
  <mergeCells count="8">
    <mergeCell ref="A8:C8"/>
    <mergeCell ref="A3:A4"/>
    <mergeCell ref="B3:B4"/>
    <mergeCell ref="C3:C4"/>
    <mergeCell ref="D3:F3"/>
    <mergeCell ref="G3:J3"/>
    <mergeCell ref="K3:M3"/>
    <mergeCell ref="N3:Q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4"/>
  <sheetViews>
    <sheetView workbookViewId="0">
      <selection activeCell="D3" sqref="D3:Q4"/>
    </sheetView>
  </sheetViews>
  <sheetFormatPr defaultColWidth="11.5703125" defaultRowHeight="12.75"/>
  <cols>
    <col min="1" max="1" width="7.28515625" style="220" customWidth="1"/>
    <col min="2" max="2" width="84.28515625" style="220" bestFit="1" customWidth="1"/>
    <col min="3" max="3" width="23.5703125" style="220" customWidth="1"/>
    <col min="4" max="8" width="21.85546875" style="220" customWidth="1"/>
    <col min="9" max="17" width="26.7109375" style="220" customWidth="1"/>
    <col min="18" max="205" width="8.7109375" style="220" customWidth="1"/>
    <col min="206" max="206" width="7.28515625" style="220" customWidth="1"/>
    <col min="207" max="207" width="18.28515625" style="220" customWidth="1"/>
    <col min="208" max="208" width="23.42578125" style="220" bestFit="1" customWidth="1"/>
    <col min="209" max="210" width="10.140625" style="220" bestFit="1" customWidth="1"/>
    <col min="211" max="213" width="10.140625" style="220" customWidth="1"/>
    <col min="214" max="214" width="16.28515625" style="220" customWidth="1"/>
    <col min="215" max="215" width="20.28515625" style="220" bestFit="1" customWidth="1"/>
    <col min="216" max="218" width="20.28515625" style="220" customWidth="1"/>
    <col min="219" max="219" width="20.28515625" style="220" bestFit="1" customWidth="1"/>
    <col min="220" max="220" width="15.42578125" style="220" customWidth="1"/>
    <col min="221" max="221" width="20.28515625" style="220" bestFit="1" customWidth="1"/>
    <col min="222" max="224" width="20.28515625" style="220" customWidth="1"/>
    <col min="225" max="225" width="20.28515625" style="220" bestFit="1" customWidth="1"/>
    <col min="226" max="226" width="15.42578125" style="220" customWidth="1"/>
    <col min="227" max="227" width="20.7109375" style="220" bestFit="1" customWidth="1"/>
    <col min="228" max="230" width="20.7109375" style="220" customWidth="1"/>
    <col min="231" max="231" width="20.7109375" style="220" bestFit="1" customWidth="1"/>
    <col min="232" max="232" width="12.140625" style="220" customWidth="1"/>
    <col min="233" max="461" width="8.7109375" style="220" customWidth="1"/>
    <col min="462" max="462" width="7.28515625" style="220" customWidth="1"/>
    <col min="463" max="463" width="18.28515625" style="220" customWidth="1"/>
    <col min="464" max="464" width="23.42578125" style="220" bestFit="1" customWidth="1"/>
    <col min="465" max="466" width="10.140625" style="220" bestFit="1" customWidth="1"/>
    <col min="467" max="469" width="10.140625" style="220" customWidth="1"/>
    <col min="470" max="470" width="16.28515625" style="220" customWidth="1"/>
    <col min="471" max="471" width="20.28515625" style="220" bestFit="1" customWidth="1"/>
    <col min="472" max="474" width="20.28515625" style="220" customWidth="1"/>
    <col min="475" max="475" width="20.28515625" style="220" bestFit="1" customWidth="1"/>
    <col min="476" max="476" width="15.42578125" style="220" customWidth="1"/>
    <col min="477" max="477" width="20.28515625" style="220" bestFit="1" customWidth="1"/>
    <col min="478" max="480" width="20.28515625" style="220" customWidth="1"/>
    <col min="481" max="481" width="20.28515625" style="220" bestFit="1" customWidth="1"/>
    <col min="482" max="482" width="15.42578125" style="220" customWidth="1"/>
    <col min="483" max="483" width="20.7109375" style="220" bestFit="1" customWidth="1"/>
    <col min="484" max="486" width="20.7109375" style="220" customWidth="1"/>
    <col min="487" max="487" width="20.7109375" style="220" bestFit="1" customWidth="1"/>
    <col min="488" max="488" width="12.140625" style="220" customWidth="1"/>
    <col min="489" max="717" width="8.7109375" style="220" customWidth="1"/>
    <col min="718" max="718" width="7.28515625" style="220" customWidth="1"/>
    <col min="719" max="719" width="18.28515625" style="220" customWidth="1"/>
    <col min="720" max="720" width="23.42578125" style="220" bestFit="1" customWidth="1"/>
    <col min="721" max="722" width="10.140625" style="220" bestFit="1" customWidth="1"/>
    <col min="723" max="725" width="10.140625" style="220" customWidth="1"/>
    <col min="726" max="726" width="16.28515625" style="220" customWidth="1"/>
    <col min="727" max="727" width="20.28515625" style="220" bestFit="1" customWidth="1"/>
    <col min="728" max="730" width="20.28515625" style="220" customWidth="1"/>
    <col min="731" max="731" width="20.28515625" style="220" bestFit="1" customWidth="1"/>
    <col min="732" max="732" width="15.42578125" style="220" customWidth="1"/>
    <col min="733" max="733" width="20.28515625" style="220" bestFit="1" customWidth="1"/>
    <col min="734" max="736" width="20.28515625" style="220" customWidth="1"/>
    <col min="737" max="737" width="20.28515625" style="220" bestFit="1" customWidth="1"/>
    <col min="738" max="738" width="15.42578125" style="220" customWidth="1"/>
    <col min="739" max="739" width="20.7109375" style="220" bestFit="1" customWidth="1"/>
    <col min="740" max="742" width="20.7109375" style="220" customWidth="1"/>
    <col min="743" max="743" width="20.7109375" style="220" bestFit="1" customWidth="1"/>
    <col min="744" max="744" width="12.140625" style="220" customWidth="1"/>
    <col min="745" max="973" width="8.7109375" style="220" customWidth="1"/>
    <col min="974" max="974" width="7.28515625" style="220" customWidth="1"/>
    <col min="975" max="975" width="18.28515625" style="220" customWidth="1"/>
    <col min="976" max="976" width="23.42578125" style="220" bestFit="1" customWidth="1"/>
    <col min="977" max="978" width="10.140625" style="220" bestFit="1" customWidth="1"/>
    <col min="979" max="981" width="10.140625" style="220" customWidth="1"/>
    <col min="982" max="982" width="16.28515625" style="220" customWidth="1"/>
    <col min="983" max="983" width="20.28515625" style="220" bestFit="1" customWidth="1"/>
    <col min="984" max="986" width="20.28515625" style="220" customWidth="1"/>
    <col min="987" max="987" width="20.28515625" style="220" bestFit="1" customWidth="1"/>
    <col min="988" max="988" width="15.42578125" style="220" customWidth="1"/>
    <col min="989" max="989" width="20.28515625" style="220" bestFit="1" customWidth="1"/>
    <col min="990" max="992" width="20.28515625" style="220" customWidth="1"/>
    <col min="993" max="993" width="20.28515625" style="220" bestFit="1" customWidth="1"/>
    <col min="994" max="994" width="15.42578125" style="220" customWidth="1"/>
    <col min="995" max="995" width="20.7109375" style="220" bestFit="1" customWidth="1"/>
    <col min="996" max="998" width="20.7109375" style="220" customWidth="1"/>
    <col min="999" max="999" width="20.7109375" style="220" bestFit="1" customWidth="1"/>
    <col min="1000" max="1000" width="12.140625" style="220" customWidth="1"/>
    <col min="1001" max="1229" width="8.7109375" style="220" customWidth="1"/>
    <col min="1230" max="1230" width="7.28515625" style="220" customWidth="1"/>
    <col min="1231" max="1231" width="18.28515625" style="220" customWidth="1"/>
    <col min="1232" max="1232" width="23.42578125" style="220" bestFit="1" customWidth="1"/>
    <col min="1233" max="1234" width="10.140625" style="220" bestFit="1" customWidth="1"/>
    <col min="1235" max="1237" width="10.140625" style="220" customWidth="1"/>
    <col min="1238" max="1238" width="16.28515625" style="220" customWidth="1"/>
    <col min="1239" max="1239" width="20.28515625" style="220" bestFit="1" customWidth="1"/>
    <col min="1240" max="1242" width="20.28515625" style="220" customWidth="1"/>
    <col min="1243" max="1243" width="20.28515625" style="220" bestFit="1" customWidth="1"/>
    <col min="1244" max="1244" width="15.42578125" style="220" customWidth="1"/>
    <col min="1245" max="1245" width="20.28515625" style="220" bestFit="1" customWidth="1"/>
    <col min="1246" max="1248" width="20.28515625" style="220" customWidth="1"/>
    <col min="1249" max="1249" width="20.28515625" style="220" bestFit="1" customWidth="1"/>
    <col min="1250" max="1250" width="15.42578125" style="220" customWidth="1"/>
    <col min="1251" max="1251" width="20.7109375" style="220" bestFit="1" customWidth="1"/>
    <col min="1252" max="1254" width="20.7109375" style="220" customWidth="1"/>
    <col min="1255" max="1255" width="20.7109375" style="220" bestFit="1" customWidth="1"/>
    <col min="1256" max="1256" width="12.140625" style="220" customWidth="1"/>
    <col min="1257" max="1485" width="8.7109375" style="220" customWidth="1"/>
    <col min="1486" max="1486" width="7.28515625" style="220" customWidth="1"/>
    <col min="1487" max="1487" width="18.28515625" style="220" customWidth="1"/>
    <col min="1488" max="1488" width="23.42578125" style="220" bestFit="1" customWidth="1"/>
    <col min="1489" max="1490" width="10.140625" style="220" bestFit="1" customWidth="1"/>
    <col min="1491" max="1493" width="10.140625" style="220" customWidth="1"/>
    <col min="1494" max="1494" width="16.28515625" style="220" customWidth="1"/>
    <col min="1495" max="1495" width="20.28515625" style="220" bestFit="1" customWidth="1"/>
    <col min="1496" max="1498" width="20.28515625" style="220" customWidth="1"/>
    <col min="1499" max="1499" width="20.28515625" style="220" bestFit="1" customWidth="1"/>
    <col min="1500" max="1500" width="15.42578125" style="220" customWidth="1"/>
    <col min="1501" max="1501" width="20.28515625" style="220" bestFit="1" customWidth="1"/>
    <col min="1502" max="1504" width="20.28515625" style="220" customWidth="1"/>
    <col min="1505" max="1505" width="20.28515625" style="220" bestFit="1" customWidth="1"/>
    <col min="1506" max="1506" width="15.42578125" style="220" customWidth="1"/>
    <col min="1507" max="1507" width="20.7109375" style="220" bestFit="1" customWidth="1"/>
    <col min="1508" max="1510" width="20.7109375" style="220" customWidth="1"/>
    <col min="1511" max="1511" width="20.7109375" style="220" bestFit="1" customWidth="1"/>
    <col min="1512" max="1512" width="12.140625" style="220" customWidth="1"/>
    <col min="1513" max="1741" width="8.7109375" style="220" customWidth="1"/>
    <col min="1742" max="1742" width="7.28515625" style="220" customWidth="1"/>
    <col min="1743" max="1743" width="18.28515625" style="220" customWidth="1"/>
    <col min="1744" max="1744" width="23.42578125" style="220" bestFit="1" customWidth="1"/>
    <col min="1745" max="1746" width="10.140625" style="220" bestFit="1" customWidth="1"/>
    <col min="1747" max="1749" width="10.140625" style="220" customWidth="1"/>
    <col min="1750" max="1750" width="16.28515625" style="220" customWidth="1"/>
    <col min="1751" max="1751" width="20.28515625" style="220" bestFit="1" customWidth="1"/>
    <col min="1752" max="1754" width="20.28515625" style="220" customWidth="1"/>
    <col min="1755" max="1755" width="20.28515625" style="220" bestFit="1" customWidth="1"/>
    <col min="1756" max="1756" width="15.42578125" style="220" customWidth="1"/>
    <col min="1757" max="1757" width="20.28515625" style="220" bestFit="1" customWidth="1"/>
    <col min="1758" max="1760" width="20.28515625" style="220" customWidth="1"/>
    <col min="1761" max="1761" width="20.28515625" style="220" bestFit="1" customWidth="1"/>
    <col min="1762" max="1762" width="15.42578125" style="220" customWidth="1"/>
    <col min="1763" max="1763" width="20.7109375" style="220" bestFit="1" customWidth="1"/>
    <col min="1764" max="1766" width="20.7109375" style="220" customWidth="1"/>
    <col min="1767" max="1767" width="20.7109375" style="220" bestFit="1" customWidth="1"/>
    <col min="1768" max="1768" width="12.140625" style="220" customWidth="1"/>
    <col min="1769" max="1997" width="8.7109375" style="220" customWidth="1"/>
    <col min="1998" max="1998" width="7.28515625" style="220" customWidth="1"/>
    <col min="1999" max="1999" width="18.28515625" style="220" customWidth="1"/>
    <col min="2000" max="2000" width="23.42578125" style="220" bestFit="1" customWidth="1"/>
    <col min="2001" max="2002" width="10.140625" style="220" bestFit="1" customWidth="1"/>
    <col min="2003" max="2005" width="10.140625" style="220" customWidth="1"/>
    <col min="2006" max="2006" width="16.28515625" style="220" customWidth="1"/>
    <col min="2007" max="2007" width="20.28515625" style="220" bestFit="1" customWidth="1"/>
    <col min="2008" max="2010" width="20.28515625" style="220" customWidth="1"/>
    <col min="2011" max="2011" width="20.28515625" style="220" bestFit="1" customWidth="1"/>
    <col min="2012" max="2012" width="15.42578125" style="220" customWidth="1"/>
    <col min="2013" max="2013" width="20.28515625" style="220" bestFit="1" customWidth="1"/>
    <col min="2014" max="2016" width="20.28515625" style="220" customWidth="1"/>
    <col min="2017" max="2017" width="20.28515625" style="220" bestFit="1" customWidth="1"/>
    <col min="2018" max="2018" width="15.42578125" style="220" customWidth="1"/>
    <col min="2019" max="2019" width="20.7109375" style="220" bestFit="1" customWidth="1"/>
    <col min="2020" max="2022" width="20.7109375" style="220" customWidth="1"/>
    <col min="2023" max="2023" width="20.7109375" style="220" bestFit="1" customWidth="1"/>
    <col min="2024" max="2024" width="12.140625" style="220" customWidth="1"/>
    <col min="2025" max="2253" width="8.7109375" style="220" customWidth="1"/>
    <col min="2254" max="2254" width="7.28515625" style="220" customWidth="1"/>
    <col min="2255" max="2255" width="18.28515625" style="220" customWidth="1"/>
    <col min="2256" max="2256" width="23.42578125" style="220" bestFit="1" customWidth="1"/>
    <col min="2257" max="2258" width="10.140625" style="220" bestFit="1" customWidth="1"/>
    <col min="2259" max="2261" width="10.140625" style="220" customWidth="1"/>
    <col min="2262" max="2262" width="16.28515625" style="220" customWidth="1"/>
    <col min="2263" max="2263" width="20.28515625" style="220" bestFit="1" customWidth="1"/>
    <col min="2264" max="2266" width="20.28515625" style="220" customWidth="1"/>
    <col min="2267" max="2267" width="20.28515625" style="220" bestFit="1" customWidth="1"/>
    <col min="2268" max="2268" width="15.42578125" style="220" customWidth="1"/>
    <col min="2269" max="2269" width="20.28515625" style="220" bestFit="1" customWidth="1"/>
    <col min="2270" max="2272" width="20.28515625" style="220" customWidth="1"/>
    <col min="2273" max="2273" width="20.28515625" style="220" bestFit="1" customWidth="1"/>
    <col min="2274" max="2274" width="15.42578125" style="220" customWidth="1"/>
    <col min="2275" max="2275" width="20.7109375" style="220" bestFit="1" customWidth="1"/>
    <col min="2276" max="2278" width="20.7109375" style="220" customWidth="1"/>
    <col min="2279" max="2279" width="20.7109375" style="220" bestFit="1" customWidth="1"/>
    <col min="2280" max="2280" width="12.140625" style="220" customWidth="1"/>
    <col min="2281" max="2509" width="8.7109375" style="220" customWidth="1"/>
    <col min="2510" max="2510" width="7.28515625" style="220" customWidth="1"/>
    <col min="2511" max="2511" width="18.28515625" style="220" customWidth="1"/>
    <col min="2512" max="2512" width="23.42578125" style="220" bestFit="1" customWidth="1"/>
    <col min="2513" max="2514" width="10.140625" style="220" bestFit="1" customWidth="1"/>
    <col min="2515" max="2517" width="10.140625" style="220" customWidth="1"/>
    <col min="2518" max="2518" width="16.28515625" style="220" customWidth="1"/>
    <col min="2519" max="2519" width="20.28515625" style="220" bestFit="1" customWidth="1"/>
    <col min="2520" max="2522" width="20.28515625" style="220" customWidth="1"/>
    <col min="2523" max="2523" width="20.28515625" style="220" bestFit="1" customWidth="1"/>
    <col min="2524" max="2524" width="15.42578125" style="220" customWidth="1"/>
    <col min="2525" max="2525" width="20.28515625" style="220" bestFit="1" customWidth="1"/>
    <col min="2526" max="2528" width="20.28515625" style="220" customWidth="1"/>
    <col min="2529" max="2529" width="20.28515625" style="220" bestFit="1" customWidth="1"/>
    <col min="2530" max="2530" width="15.42578125" style="220" customWidth="1"/>
    <col min="2531" max="2531" width="20.7109375" style="220" bestFit="1" customWidth="1"/>
    <col min="2532" max="2534" width="20.7109375" style="220" customWidth="1"/>
    <col min="2535" max="2535" width="20.7109375" style="220" bestFit="1" customWidth="1"/>
    <col min="2536" max="2536" width="12.140625" style="220" customWidth="1"/>
    <col min="2537" max="2765" width="8.7109375" style="220" customWidth="1"/>
    <col min="2766" max="2766" width="7.28515625" style="220" customWidth="1"/>
    <col min="2767" max="2767" width="18.28515625" style="220" customWidth="1"/>
    <col min="2768" max="2768" width="23.42578125" style="220" bestFit="1" customWidth="1"/>
    <col min="2769" max="2770" width="10.140625" style="220" bestFit="1" customWidth="1"/>
    <col min="2771" max="2773" width="10.140625" style="220" customWidth="1"/>
    <col min="2774" max="2774" width="16.28515625" style="220" customWidth="1"/>
    <col min="2775" max="2775" width="20.28515625" style="220" bestFit="1" customWidth="1"/>
    <col min="2776" max="2778" width="20.28515625" style="220" customWidth="1"/>
    <col min="2779" max="2779" width="20.28515625" style="220" bestFit="1" customWidth="1"/>
    <col min="2780" max="2780" width="15.42578125" style="220" customWidth="1"/>
    <col min="2781" max="2781" width="20.28515625" style="220" bestFit="1" customWidth="1"/>
    <col min="2782" max="2784" width="20.28515625" style="220" customWidth="1"/>
    <col min="2785" max="2785" width="20.28515625" style="220" bestFit="1" customWidth="1"/>
    <col min="2786" max="2786" width="15.42578125" style="220" customWidth="1"/>
    <col min="2787" max="2787" width="20.7109375" style="220" bestFit="1" customWidth="1"/>
    <col min="2788" max="2790" width="20.7109375" style="220" customWidth="1"/>
    <col min="2791" max="2791" width="20.7109375" style="220" bestFit="1" customWidth="1"/>
    <col min="2792" max="2792" width="12.140625" style="220" customWidth="1"/>
    <col min="2793" max="3021" width="8.7109375" style="220" customWidth="1"/>
    <col min="3022" max="3022" width="7.28515625" style="220" customWidth="1"/>
    <col min="3023" max="3023" width="18.28515625" style="220" customWidth="1"/>
    <col min="3024" max="3024" width="23.42578125" style="220" bestFit="1" customWidth="1"/>
    <col min="3025" max="3026" width="10.140625" style="220" bestFit="1" customWidth="1"/>
    <col min="3027" max="3029" width="10.140625" style="220" customWidth="1"/>
    <col min="3030" max="3030" width="16.28515625" style="220" customWidth="1"/>
    <col min="3031" max="3031" width="20.28515625" style="220" bestFit="1" customWidth="1"/>
    <col min="3032" max="3034" width="20.28515625" style="220" customWidth="1"/>
    <col min="3035" max="3035" width="20.28515625" style="220" bestFit="1" customWidth="1"/>
    <col min="3036" max="3036" width="15.42578125" style="220" customWidth="1"/>
    <col min="3037" max="3037" width="20.28515625" style="220" bestFit="1" customWidth="1"/>
    <col min="3038" max="3040" width="20.28515625" style="220" customWidth="1"/>
    <col min="3041" max="3041" width="20.28515625" style="220" bestFit="1" customWidth="1"/>
    <col min="3042" max="3042" width="15.42578125" style="220" customWidth="1"/>
    <col min="3043" max="3043" width="20.7109375" style="220" bestFit="1" customWidth="1"/>
    <col min="3044" max="3046" width="20.7109375" style="220" customWidth="1"/>
    <col min="3047" max="3047" width="20.7109375" style="220" bestFit="1" customWidth="1"/>
    <col min="3048" max="3048" width="12.140625" style="220" customWidth="1"/>
    <col min="3049" max="3277" width="8.7109375" style="220" customWidth="1"/>
    <col min="3278" max="3278" width="7.28515625" style="220" customWidth="1"/>
    <col min="3279" max="3279" width="18.28515625" style="220" customWidth="1"/>
    <col min="3280" max="3280" width="23.42578125" style="220" bestFit="1" customWidth="1"/>
    <col min="3281" max="3282" width="10.140625" style="220" bestFit="1" customWidth="1"/>
    <col min="3283" max="3285" width="10.140625" style="220" customWidth="1"/>
    <col min="3286" max="3286" width="16.28515625" style="220" customWidth="1"/>
    <col min="3287" max="3287" width="20.28515625" style="220" bestFit="1" customWidth="1"/>
    <col min="3288" max="3290" width="20.28515625" style="220" customWidth="1"/>
    <col min="3291" max="3291" width="20.28515625" style="220" bestFit="1" customWidth="1"/>
    <col min="3292" max="3292" width="15.42578125" style="220" customWidth="1"/>
    <col min="3293" max="3293" width="20.28515625" style="220" bestFit="1" customWidth="1"/>
    <col min="3294" max="3296" width="20.28515625" style="220" customWidth="1"/>
    <col min="3297" max="3297" width="20.28515625" style="220" bestFit="1" customWidth="1"/>
    <col min="3298" max="3298" width="15.42578125" style="220" customWidth="1"/>
    <col min="3299" max="3299" width="20.7109375" style="220" bestFit="1" customWidth="1"/>
    <col min="3300" max="3302" width="20.7109375" style="220" customWidth="1"/>
    <col min="3303" max="3303" width="20.7109375" style="220" bestFit="1" customWidth="1"/>
    <col min="3304" max="3304" width="12.140625" style="220" customWidth="1"/>
    <col min="3305" max="3533" width="8.7109375" style="220" customWidth="1"/>
    <col min="3534" max="3534" width="7.28515625" style="220" customWidth="1"/>
    <col min="3535" max="3535" width="18.28515625" style="220" customWidth="1"/>
    <col min="3536" max="3536" width="23.42578125" style="220" bestFit="1" customWidth="1"/>
    <col min="3537" max="3538" width="10.140625" style="220" bestFit="1" customWidth="1"/>
    <col min="3539" max="3541" width="10.140625" style="220" customWidth="1"/>
    <col min="3542" max="3542" width="16.28515625" style="220" customWidth="1"/>
    <col min="3543" max="3543" width="20.28515625" style="220" bestFit="1" customWidth="1"/>
    <col min="3544" max="3546" width="20.28515625" style="220" customWidth="1"/>
    <col min="3547" max="3547" width="20.28515625" style="220" bestFit="1" customWidth="1"/>
    <col min="3548" max="3548" width="15.42578125" style="220" customWidth="1"/>
    <col min="3549" max="3549" width="20.28515625" style="220" bestFit="1" customWidth="1"/>
    <col min="3550" max="3552" width="20.28515625" style="220" customWidth="1"/>
    <col min="3553" max="3553" width="20.28515625" style="220" bestFit="1" customWidth="1"/>
    <col min="3554" max="3554" width="15.42578125" style="220" customWidth="1"/>
    <col min="3555" max="3555" width="20.7109375" style="220" bestFit="1" customWidth="1"/>
    <col min="3556" max="3558" width="20.7109375" style="220" customWidth="1"/>
    <col min="3559" max="3559" width="20.7109375" style="220" bestFit="1" customWidth="1"/>
    <col min="3560" max="3560" width="12.140625" style="220" customWidth="1"/>
    <col min="3561" max="3789" width="8.7109375" style="220" customWidth="1"/>
    <col min="3790" max="3790" width="7.28515625" style="220" customWidth="1"/>
    <col min="3791" max="3791" width="18.28515625" style="220" customWidth="1"/>
    <col min="3792" max="3792" width="23.42578125" style="220" bestFit="1" customWidth="1"/>
    <col min="3793" max="3794" width="10.140625" style="220" bestFit="1" customWidth="1"/>
    <col min="3795" max="3797" width="10.140625" style="220" customWidth="1"/>
    <col min="3798" max="3798" width="16.28515625" style="220" customWidth="1"/>
    <col min="3799" max="3799" width="20.28515625" style="220" bestFit="1" customWidth="1"/>
    <col min="3800" max="3802" width="20.28515625" style="220" customWidth="1"/>
    <col min="3803" max="3803" width="20.28515625" style="220" bestFit="1" customWidth="1"/>
    <col min="3804" max="3804" width="15.42578125" style="220" customWidth="1"/>
    <col min="3805" max="3805" width="20.28515625" style="220" bestFit="1" customWidth="1"/>
    <col min="3806" max="3808" width="20.28515625" style="220" customWidth="1"/>
    <col min="3809" max="3809" width="20.28515625" style="220" bestFit="1" customWidth="1"/>
    <col min="3810" max="3810" width="15.42578125" style="220" customWidth="1"/>
    <col min="3811" max="3811" width="20.7109375" style="220" bestFit="1" customWidth="1"/>
    <col min="3812" max="3814" width="20.7109375" style="220" customWidth="1"/>
    <col min="3815" max="3815" width="20.7109375" style="220" bestFit="1" customWidth="1"/>
    <col min="3816" max="3816" width="12.140625" style="220" customWidth="1"/>
    <col min="3817" max="4045" width="8.7109375" style="220" customWidth="1"/>
    <col min="4046" max="4046" width="7.28515625" style="220" customWidth="1"/>
    <col min="4047" max="4047" width="18.28515625" style="220" customWidth="1"/>
    <col min="4048" max="4048" width="23.42578125" style="220" bestFit="1" customWidth="1"/>
    <col min="4049" max="4050" width="10.140625" style="220" bestFit="1" customWidth="1"/>
    <col min="4051" max="4053" width="10.140625" style="220" customWidth="1"/>
    <col min="4054" max="4054" width="16.28515625" style="220" customWidth="1"/>
    <col min="4055" max="4055" width="20.28515625" style="220" bestFit="1" customWidth="1"/>
    <col min="4056" max="4058" width="20.28515625" style="220" customWidth="1"/>
    <col min="4059" max="4059" width="20.28515625" style="220" bestFit="1" customWidth="1"/>
    <col min="4060" max="4060" width="15.42578125" style="220" customWidth="1"/>
    <col min="4061" max="4061" width="20.28515625" style="220" bestFit="1" customWidth="1"/>
    <col min="4062" max="4064" width="20.28515625" style="220" customWidth="1"/>
    <col min="4065" max="4065" width="20.28515625" style="220" bestFit="1" customWidth="1"/>
    <col min="4066" max="4066" width="15.42578125" style="220" customWidth="1"/>
    <col min="4067" max="4067" width="20.7109375" style="220" bestFit="1" customWidth="1"/>
    <col min="4068" max="4070" width="20.7109375" style="220" customWidth="1"/>
    <col min="4071" max="4071" width="20.7109375" style="220" bestFit="1" customWidth="1"/>
    <col min="4072" max="4072" width="12.140625" style="220" customWidth="1"/>
    <col min="4073" max="4301" width="8.7109375" style="220" customWidth="1"/>
    <col min="4302" max="4302" width="7.28515625" style="220" customWidth="1"/>
    <col min="4303" max="4303" width="18.28515625" style="220" customWidth="1"/>
    <col min="4304" max="4304" width="23.42578125" style="220" bestFit="1" customWidth="1"/>
    <col min="4305" max="4306" width="10.140625" style="220" bestFit="1" customWidth="1"/>
    <col min="4307" max="4309" width="10.140625" style="220" customWidth="1"/>
    <col min="4310" max="4310" width="16.28515625" style="220" customWidth="1"/>
    <col min="4311" max="4311" width="20.28515625" style="220" bestFit="1" customWidth="1"/>
    <col min="4312" max="4314" width="20.28515625" style="220" customWidth="1"/>
    <col min="4315" max="4315" width="20.28515625" style="220" bestFit="1" customWidth="1"/>
    <col min="4316" max="4316" width="15.42578125" style="220" customWidth="1"/>
    <col min="4317" max="4317" width="20.28515625" style="220" bestFit="1" customWidth="1"/>
    <col min="4318" max="4320" width="20.28515625" style="220" customWidth="1"/>
    <col min="4321" max="4321" width="20.28515625" style="220" bestFit="1" customWidth="1"/>
    <col min="4322" max="4322" width="15.42578125" style="220" customWidth="1"/>
    <col min="4323" max="4323" width="20.7109375" style="220" bestFit="1" customWidth="1"/>
    <col min="4324" max="4326" width="20.7109375" style="220" customWidth="1"/>
    <col min="4327" max="4327" width="20.7109375" style="220" bestFit="1" customWidth="1"/>
    <col min="4328" max="4328" width="12.140625" style="220" customWidth="1"/>
    <col min="4329" max="4557" width="8.7109375" style="220" customWidth="1"/>
    <col min="4558" max="4558" width="7.28515625" style="220" customWidth="1"/>
    <col min="4559" max="4559" width="18.28515625" style="220" customWidth="1"/>
    <col min="4560" max="4560" width="23.42578125" style="220" bestFit="1" customWidth="1"/>
    <col min="4561" max="4562" width="10.140625" style="220" bestFit="1" customWidth="1"/>
    <col min="4563" max="4565" width="10.140625" style="220" customWidth="1"/>
    <col min="4566" max="4566" width="16.28515625" style="220" customWidth="1"/>
    <col min="4567" max="4567" width="20.28515625" style="220" bestFit="1" customWidth="1"/>
    <col min="4568" max="4570" width="20.28515625" style="220" customWidth="1"/>
    <col min="4571" max="4571" width="20.28515625" style="220" bestFit="1" customWidth="1"/>
    <col min="4572" max="4572" width="15.42578125" style="220" customWidth="1"/>
    <col min="4573" max="4573" width="20.28515625" style="220" bestFit="1" customWidth="1"/>
    <col min="4574" max="4576" width="20.28515625" style="220" customWidth="1"/>
    <col min="4577" max="4577" width="20.28515625" style="220" bestFit="1" customWidth="1"/>
    <col min="4578" max="4578" width="15.42578125" style="220" customWidth="1"/>
    <col min="4579" max="4579" width="20.7109375" style="220" bestFit="1" customWidth="1"/>
    <col min="4580" max="4582" width="20.7109375" style="220" customWidth="1"/>
    <col min="4583" max="4583" width="20.7109375" style="220" bestFit="1" customWidth="1"/>
    <col min="4584" max="4584" width="12.140625" style="220" customWidth="1"/>
    <col min="4585" max="4813" width="8.7109375" style="220" customWidth="1"/>
    <col min="4814" max="4814" width="7.28515625" style="220" customWidth="1"/>
    <col min="4815" max="4815" width="18.28515625" style="220" customWidth="1"/>
    <col min="4816" max="4816" width="23.42578125" style="220" bestFit="1" customWidth="1"/>
    <col min="4817" max="4818" width="10.140625" style="220" bestFit="1" customWidth="1"/>
    <col min="4819" max="4821" width="10.140625" style="220" customWidth="1"/>
    <col min="4822" max="4822" width="16.28515625" style="220" customWidth="1"/>
    <col min="4823" max="4823" width="20.28515625" style="220" bestFit="1" customWidth="1"/>
    <col min="4824" max="4826" width="20.28515625" style="220" customWidth="1"/>
    <col min="4827" max="4827" width="20.28515625" style="220" bestFit="1" customWidth="1"/>
    <col min="4828" max="4828" width="15.42578125" style="220" customWidth="1"/>
    <col min="4829" max="4829" width="20.28515625" style="220" bestFit="1" customWidth="1"/>
    <col min="4830" max="4832" width="20.28515625" style="220" customWidth="1"/>
    <col min="4833" max="4833" width="20.28515625" style="220" bestFit="1" customWidth="1"/>
    <col min="4834" max="4834" width="15.42578125" style="220" customWidth="1"/>
    <col min="4835" max="4835" width="20.7109375" style="220" bestFit="1" customWidth="1"/>
    <col min="4836" max="4838" width="20.7109375" style="220" customWidth="1"/>
    <col min="4839" max="4839" width="20.7109375" style="220" bestFit="1" customWidth="1"/>
    <col min="4840" max="4840" width="12.140625" style="220" customWidth="1"/>
    <col min="4841" max="5069" width="8.7109375" style="220" customWidth="1"/>
    <col min="5070" max="5070" width="7.28515625" style="220" customWidth="1"/>
    <col min="5071" max="5071" width="18.28515625" style="220" customWidth="1"/>
    <col min="5072" max="5072" width="23.42578125" style="220" bestFit="1" customWidth="1"/>
    <col min="5073" max="5074" width="10.140625" style="220" bestFit="1" customWidth="1"/>
    <col min="5075" max="5077" width="10.140625" style="220" customWidth="1"/>
    <col min="5078" max="5078" width="16.28515625" style="220" customWidth="1"/>
    <col min="5079" max="5079" width="20.28515625" style="220" bestFit="1" customWidth="1"/>
    <col min="5080" max="5082" width="20.28515625" style="220" customWidth="1"/>
    <col min="5083" max="5083" width="20.28515625" style="220" bestFit="1" customWidth="1"/>
    <col min="5084" max="5084" width="15.42578125" style="220" customWidth="1"/>
    <col min="5085" max="5085" width="20.28515625" style="220" bestFit="1" customWidth="1"/>
    <col min="5086" max="5088" width="20.28515625" style="220" customWidth="1"/>
    <col min="5089" max="5089" width="20.28515625" style="220" bestFit="1" customWidth="1"/>
    <col min="5090" max="5090" width="15.42578125" style="220" customWidth="1"/>
    <col min="5091" max="5091" width="20.7109375" style="220" bestFit="1" customWidth="1"/>
    <col min="5092" max="5094" width="20.7109375" style="220" customWidth="1"/>
    <col min="5095" max="5095" width="20.7109375" style="220" bestFit="1" customWidth="1"/>
    <col min="5096" max="5096" width="12.140625" style="220" customWidth="1"/>
    <col min="5097" max="5325" width="8.7109375" style="220" customWidth="1"/>
    <col min="5326" max="5326" width="7.28515625" style="220" customWidth="1"/>
    <col min="5327" max="5327" width="18.28515625" style="220" customWidth="1"/>
    <col min="5328" max="5328" width="23.42578125" style="220" bestFit="1" customWidth="1"/>
    <col min="5329" max="5330" width="10.140625" style="220" bestFit="1" customWidth="1"/>
    <col min="5331" max="5333" width="10.140625" style="220" customWidth="1"/>
    <col min="5334" max="5334" width="16.28515625" style="220" customWidth="1"/>
    <col min="5335" max="5335" width="20.28515625" style="220" bestFit="1" customWidth="1"/>
    <col min="5336" max="5338" width="20.28515625" style="220" customWidth="1"/>
    <col min="5339" max="5339" width="20.28515625" style="220" bestFit="1" customWidth="1"/>
    <col min="5340" max="5340" width="15.42578125" style="220" customWidth="1"/>
    <col min="5341" max="5341" width="20.28515625" style="220" bestFit="1" customWidth="1"/>
    <col min="5342" max="5344" width="20.28515625" style="220" customWidth="1"/>
    <col min="5345" max="5345" width="20.28515625" style="220" bestFit="1" customWidth="1"/>
    <col min="5346" max="5346" width="15.42578125" style="220" customWidth="1"/>
    <col min="5347" max="5347" width="20.7109375" style="220" bestFit="1" customWidth="1"/>
    <col min="5348" max="5350" width="20.7109375" style="220" customWidth="1"/>
    <col min="5351" max="5351" width="20.7109375" style="220" bestFit="1" customWidth="1"/>
    <col min="5352" max="5352" width="12.140625" style="220" customWidth="1"/>
    <col min="5353" max="5581" width="8.7109375" style="220" customWidth="1"/>
    <col min="5582" max="5582" width="7.28515625" style="220" customWidth="1"/>
    <col min="5583" max="5583" width="18.28515625" style="220" customWidth="1"/>
    <col min="5584" max="5584" width="23.42578125" style="220" bestFit="1" customWidth="1"/>
    <col min="5585" max="5586" width="10.140625" style="220" bestFit="1" customWidth="1"/>
    <col min="5587" max="5589" width="10.140625" style="220" customWidth="1"/>
    <col min="5590" max="5590" width="16.28515625" style="220" customWidth="1"/>
    <col min="5591" max="5591" width="20.28515625" style="220" bestFit="1" customWidth="1"/>
    <col min="5592" max="5594" width="20.28515625" style="220" customWidth="1"/>
    <col min="5595" max="5595" width="20.28515625" style="220" bestFit="1" customWidth="1"/>
    <col min="5596" max="5596" width="15.42578125" style="220" customWidth="1"/>
    <col min="5597" max="5597" width="20.28515625" style="220" bestFit="1" customWidth="1"/>
    <col min="5598" max="5600" width="20.28515625" style="220" customWidth="1"/>
    <col min="5601" max="5601" width="20.28515625" style="220" bestFit="1" customWidth="1"/>
    <col min="5602" max="5602" width="15.42578125" style="220" customWidth="1"/>
    <col min="5603" max="5603" width="20.7109375" style="220" bestFit="1" customWidth="1"/>
    <col min="5604" max="5606" width="20.7109375" style="220" customWidth="1"/>
    <col min="5607" max="5607" width="20.7109375" style="220" bestFit="1" customWidth="1"/>
    <col min="5608" max="5608" width="12.140625" style="220" customWidth="1"/>
    <col min="5609" max="5837" width="8.7109375" style="220" customWidth="1"/>
    <col min="5838" max="5838" width="7.28515625" style="220" customWidth="1"/>
    <col min="5839" max="5839" width="18.28515625" style="220" customWidth="1"/>
    <col min="5840" max="5840" width="23.42578125" style="220" bestFit="1" customWidth="1"/>
    <col min="5841" max="5842" width="10.140625" style="220" bestFit="1" customWidth="1"/>
    <col min="5843" max="5845" width="10.140625" style="220" customWidth="1"/>
    <col min="5846" max="5846" width="16.28515625" style="220" customWidth="1"/>
    <col min="5847" max="5847" width="20.28515625" style="220" bestFit="1" customWidth="1"/>
    <col min="5848" max="5850" width="20.28515625" style="220" customWidth="1"/>
    <col min="5851" max="5851" width="20.28515625" style="220" bestFit="1" customWidth="1"/>
    <col min="5852" max="5852" width="15.42578125" style="220" customWidth="1"/>
    <col min="5853" max="5853" width="20.28515625" style="220" bestFit="1" customWidth="1"/>
    <col min="5854" max="5856" width="20.28515625" style="220" customWidth="1"/>
    <col min="5857" max="5857" width="20.28515625" style="220" bestFit="1" customWidth="1"/>
    <col min="5858" max="5858" width="15.42578125" style="220" customWidth="1"/>
    <col min="5859" max="5859" width="20.7109375" style="220" bestFit="1" customWidth="1"/>
    <col min="5860" max="5862" width="20.7109375" style="220" customWidth="1"/>
    <col min="5863" max="5863" width="20.7109375" style="220" bestFit="1" customWidth="1"/>
    <col min="5864" max="5864" width="12.140625" style="220" customWidth="1"/>
    <col min="5865" max="6093" width="8.7109375" style="220" customWidth="1"/>
    <col min="6094" max="6094" width="7.28515625" style="220" customWidth="1"/>
    <col min="6095" max="6095" width="18.28515625" style="220" customWidth="1"/>
    <col min="6096" max="6096" width="23.42578125" style="220" bestFit="1" customWidth="1"/>
    <col min="6097" max="6098" width="10.140625" style="220" bestFit="1" customWidth="1"/>
    <col min="6099" max="6101" width="10.140625" style="220" customWidth="1"/>
    <col min="6102" max="6102" width="16.28515625" style="220" customWidth="1"/>
    <col min="6103" max="6103" width="20.28515625" style="220" bestFit="1" customWidth="1"/>
    <col min="6104" max="6106" width="20.28515625" style="220" customWidth="1"/>
    <col min="6107" max="6107" width="20.28515625" style="220" bestFit="1" customWidth="1"/>
    <col min="6108" max="6108" width="15.42578125" style="220" customWidth="1"/>
    <col min="6109" max="6109" width="20.28515625" style="220" bestFit="1" customWidth="1"/>
    <col min="6110" max="6112" width="20.28515625" style="220" customWidth="1"/>
    <col min="6113" max="6113" width="20.28515625" style="220" bestFit="1" customWidth="1"/>
    <col min="6114" max="6114" width="15.42578125" style="220" customWidth="1"/>
    <col min="6115" max="6115" width="20.7109375" style="220" bestFit="1" customWidth="1"/>
    <col min="6116" max="6118" width="20.7109375" style="220" customWidth="1"/>
    <col min="6119" max="6119" width="20.7109375" style="220" bestFit="1" customWidth="1"/>
    <col min="6120" max="6120" width="12.140625" style="220" customWidth="1"/>
    <col min="6121" max="6349" width="8.7109375" style="220" customWidth="1"/>
    <col min="6350" max="6350" width="7.28515625" style="220" customWidth="1"/>
    <col min="6351" max="6351" width="18.28515625" style="220" customWidth="1"/>
    <col min="6352" max="6352" width="23.42578125" style="220" bestFit="1" customWidth="1"/>
    <col min="6353" max="6354" width="10.140625" style="220" bestFit="1" customWidth="1"/>
    <col min="6355" max="6357" width="10.140625" style="220" customWidth="1"/>
    <col min="6358" max="6358" width="16.28515625" style="220" customWidth="1"/>
    <col min="6359" max="6359" width="20.28515625" style="220" bestFit="1" customWidth="1"/>
    <col min="6360" max="6362" width="20.28515625" style="220" customWidth="1"/>
    <col min="6363" max="6363" width="20.28515625" style="220" bestFit="1" customWidth="1"/>
    <col min="6364" max="6364" width="15.42578125" style="220" customWidth="1"/>
    <col min="6365" max="6365" width="20.28515625" style="220" bestFit="1" customWidth="1"/>
    <col min="6366" max="6368" width="20.28515625" style="220" customWidth="1"/>
    <col min="6369" max="6369" width="20.28515625" style="220" bestFit="1" customWidth="1"/>
    <col min="6370" max="6370" width="15.42578125" style="220" customWidth="1"/>
    <col min="6371" max="6371" width="20.7109375" style="220" bestFit="1" customWidth="1"/>
    <col min="6372" max="6374" width="20.7109375" style="220" customWidth="1"/>
    <col min="6375" max="6375" width="20.7109375" style="220" bestFit="1" customWidth="1"/>
    <col min="6376" max="6376" width="12.140625" style="220" customWidth="1"/>
    <col min="6377" max="6605" width="8.7109375" style="220" customWidth="1"/>
    <col min="6606" max="6606" width="7.28515625" style="220" customWidth="1"/>
    <col min="6607" max="6607" width="18.28515625" style="220" customWidth="1"/>
    <col min="6608" max="6608" width="23.42578125" style="220" bestFit="1" customWidth="1"/>
    <col min="6609" max="6610" width="10.140625" style="220" bestFit="1" customWidth="1"/>
    <col min="6611" max="6613" width="10.140625" style="220" customWidth="1"/>
    <col min="6614" max="6614" width="16.28515625" style="220" customWidth="1"/>
    <col min="6615" max="6615" width="20.28515625" style="220" bestFit="1" customWidth="1"/>
    <col min="6616" max="6618" width="20.28515625" style="220" customWidth="1"/>
    <col min="6619" max="6619" width="20.28515625" style="220" bestFit="1" customWidth="1"/>
    <col min="6620" max="6620" width="15.42578125" style="220" customWidth="1"/>
    <col min="6621" max="6621" width="20.28515625" style="220" bestFit="1" customWidth="1"/>
    <col min="6622" max="6624" width="20.28515625" style="220" customWidth="1"/>
    <col min="6625" max="6625" width="20.28515625" style="220" bestFit="1" customWidth="1"/>
    <col min="6626" max="6626" width="15.42578125" style="220" customWidth="1"/>
    <col min="6627" max="6627" width="20.7109375" style="220" bestFit="1" customWidth="1"/>
    <col min="6628" max="6630" width="20.7109375" style="220" customWidth="1"/>
    <col min="6631" max="6631" width="20.7109375" style="220" bestFit="1" customWidth="1"/>
    <col min="6632" max="6632" width="12.140625" style="220" customWidth="1"/>
    <col min="6633" max="6861" width="8.7109375" style="220" customWidth="1"/>
    <col min="6862" max="6862" width="7.28515625" style="220" customWidth="1"/>
    <col min="6863" max="6863" width="18.28515625" style="220" customWidth="1"/>
    <col min="6864" max="6864" width="23.42578125" style="220" bestFit="1" customWidth="1"/>
    <col min="6865" max="6866" width="10.140625" style="220" bestFit="1" customWidth="1"/>
    <col min="6867" max="6869" width="10.140625" style="220" customWidth="1"/>
    <col min="6870" max="6870" width="16.28515625" style="220" customWidth="1"/>
    <col min="6871" max="6871" width="20.28515625" style="220" bestFit="1" customWidth="1"/>
    <col min="6872" max="6874" width="20.28515625" style="220" customWidth="1"/>
    <col min="6875" max="6875" width="20.28515625" style="220" bestFit="1" customWidth="1"/>
    <col min="6876" max="6876" width="15.42578125" style="220" customWidth="1"/>
    <col min="6877" max="6877" width="20.28515625" style="220" bestFit="1" customWidth="1"/>
    <col min="6878" max="6880" width="20.28515625" style="220" customWidth="1"/>
    <col min="6881" max="6881" width="20.28515625" style="220" bestFit="1" customWidth="1"/>
    <col min="6882" max="6882" width="15.42578125" style="220" customWidth="1"/>
    <col min="6883" max="6883" width="20.7109375" style="220" bestFit="1" customWidth="1"/>
    <col min="6884" max="6886" width="20.7109375" style="220" customWidth="1"/>
    <col min="6887" max="6887" width="20.7109375" style="220" bestFit="1" customWidth="1"/>
    <col min="6888" max="6888" width="12.140625" style="220" customWidth="1"/>
    <col min="6889" max="7117" width="8.7109375" style="220" customWidth="1"/>
    <col min="7118" max="7118" width="7.28515625" style="220" customWidth="1"/>
    <col min="7119" max="7119" width="18.28515625" style="220" customWidth="1"/>
    <col min="7120" max="7120" width="23.42578125" style="220" bestFit="1" customWidth="1"/>
    <col min="7121" max="7122" width="10.140625" style="220" bestFit="1" customWidth="1"/>
    <col min="7123" max="7125" width="10.140625" style="220" customWidth="1"/>
    <col min="7126" max="7126" width="16.28515625" style="220" customWidth="1"/>
    <col min="7127" max="7127" width="20.28515625" style="220" bestFit="1" customWidth="1"/>
    <col min="7128" max="7130" width="20.28515625" style="220" customWidth="1"/>
    <col min="7131" max="7131" width="20.28515625" style="220" bestFit="1" customWidth="1"/>
    <col min="7132" max="7132" width="15.42578125" style="220" customWidth="1"/>
    <col min="7133" max="7133" width="20.28515625" style="220" bestFit="1" customWidth="1"/>
    <col min="7134" max="7136" width="20.28515625" style="220" customWidth="1"/>
    <col min="7137" max="7137" width="20.28515625" style="220" bestFit="1" customWidth="1"/>
    <col min="7138" max="7138" width="15.42578125" style="220" customWidth="1"/>
    <col min="7139" max="7139" width="20.7109375" style="220" bestFit="1" customWidth="1"/>
    <col min="7140" max="7142" width="20.7109375" style="220" customWidth="1"/>
    <col min="7143" max="7143" width="20.7109375" style="220" bestFit="1" customWidth="1"/>
    <col min="7144" max="7144" width="12.140625" style="220" customWidth="1"/>
    <col min="7145" max="7373" width="8.7109375" style="220" customWidth="1"/>
    <col min="7374" max="7374" width="7.28515625" style="220" customWidth="1"/>
    <col min="7375" max="7375" width="18.28515625" style="220" customWidth="1"/>
    <col min="7376" max="7376" width="23.42578125" style="220" bestFit="1" customWidth="1"/>
    <col min="7377" max="7378" width="10.140625" style="220" bestFit="1" customWidth="1"/>
    <col min="7379" max="7381" width="10.140625" style="220" customWidth="1"/>
    <col min="7382" max="7382" width="16.28515625" style="220" customWidth="1"/>
    <col min="7383" max="7383" width="20.28515625" style="220" bestFit="1" customWidth="1"/>
    <col min="7384" max="7386" width="20.28515625" style="220" customWidth="1"/>
    <col min="7387" max="7387" width="20.28515625" style="220" bestFit="1" customWidth="1"/>
    <col min="7388" max="7388" width="15.42578125" style="220" customWidth="1"/>
    <col min="7389" max="7389" width="20.28515625" style="220" bestFit="1" customWidth="1"/>
    <col min="7390" max="7392" width="20.28515625" style="220" customWidth="1"/>
    <col min="7393" max="7393" width="20.28515625" style="220" bestFit="1" customWidth="1"/>
    <col min="7394" max="7394" width="15.42578125" style="220" customWidth="1"/>
    <col min="7395" max="7395" width="20.7109375" style="220" bestFit="1" customWidth="1"/>
    <col min="7396" max="7398" width="20.7109375" style="220" customWidth="1"/>
    <col min="7399" max="7399" width="20.7109375" style="220" bestFit="1" customWidth="1"/>
    <col min="7400" max="7400" width="12.140625" style="220" customWidth="1"/>
    <col min="7401" max="7629" width="8.7109375" style="220" customWidth="1"/>
    <col min="7630" max="7630" width="7.28515625" style="220" customWidth="1"/>
    <col min="7631" max="7631" width="18.28515625" style="220" customWidth="1"/>
    <col min="7632" max="7632" width="23.42578125" style="220" bestFit="1" customWidth="1"/>
    <col min="7633" max="7634" width="10.140625" style="220" bestFit="1" customWidth="1"/>
    <col min="7635" max="7637" width="10.140625" style="220" customWidth="1"/>
    <col min="7638" max="7638" width="16.28515625" style="220" customWidth="1"/>
    <col min="7639" max="7639" width="20.28515625" style="220" bestFit="1" customWidth="1"/>
    <col min="7640" max="7642" width="20.28515625" style="220" customWidth="1"/>
    <col min="7643" max="7643" width="20.28515625" style="220" bestFit="1" customWidth="1"/>
    <col min="7644" max="7644" width="15.42578125" style="220" customWidth="1"/>
    <col min="7645" max="7645" width="20.28515625" style="220" bestFit="1" customWidth="1"/>
    <col min="7646" max="7648" width="20.28515625" style="220" customWidth="1"/>
    <col min="7649" max="7649" width="20.28515625" style="220" bestFit="1" customWidth="1"/>
    <col min="7650" max="7650" width="15.42578125" style="220" customWidth="1"/>
    <col min="7651" max="7651" width="20.7109375" style="220" bestFit="1" customWidth="1"/>
    <col min="7652" max="7654" width="20.7109375" style="220" customWidth="1"/>
    <col min="7655" max="7655" width="20.7109375" style="220" bestFit="1" customWidth="1"/>
    <col min="7656" max="7656" width="12.140625" style="220" customWidth="1"/>
    <col min="7657" max="7885" width="8.7109375" style="220" customWidth="1"/>
    <col min="7886" max="7886" width="7.28515625" style="220" customWidth="1"/>
    <col min="7887" max="7887" width="18.28515625" style="220" customWidth="1"/>
    <col min="7888" max="7888" width="23.42578125" style="220" bestFit="1" customWidth="1"/>
    <col min="7889" max="7890" width="10.140625" style="220" bestFit="1" customWidth="1"/>
    <col min="7891" max="7893" width="10.140625" style="220" customWidth="1"/>
    <col min="7894" max="7894" width="16.28515625" style="220" customWidth="1"/>
    <col min="7895" max="7895" width="20.28515625" style="220" bestFit="1" customWidth="1"/>
    <col min="7896" max="7898" width="20.28515625" style="220" customWidth="1"/>
    <col min="7899" max="7899" width="20.28515625" style="220" bestFit="1" customWidth="1"/>
    <col min="7900" max="7900" width="15.42578125" style="220" customWidth="1"/>
    <col min="7901" max="7901" width="20.28515625" style="220" bestFit="1" customWidth="1"/>
    <col min="7902" max="7904" width="20.28515625" style="220" customWidth="1"/>
    <col min="7905" max="7905" width="20.28515625" style="220" bestFit="1" customWidth="1"/>
    <col min="7906" max="7906" width="15.42578125" style="220" customWidth="1"/>
    <col min="7907" max="7907" width="20.7109375" style="220" bestFit="1" customWidth="1"/>
    <col min="7908" max="7910" width="20.7109375" style="220" customWidth="1"/>
    <col min="7911" max="7911" width="20.7109375" style="220" bestFit="1" customWidth="1"/>
    <col min="7912" max="7912" width="12.140625" style="220" customWidth="1"/>
    <col min="7913" max="8141" width="8.7109375" style="220" customWidth="1"/>
    <col min="8142" max="8142" width="7.28515625" style="220" customWidth="1"/>
    <col min="8143" max="8143" width="18.28515625" style="220" customWidth="1"/>
    <col min="8144" max="8144" width="23.42578125" style="220" bestFit="1" customWidth="1"/>
    <col min="8145" max="8146" width="10.140625" style="220" bestFit="1" customWidth="1"/>
    <col min="8147" max="8149" width="10.140625" style="220" customWidth="1"/>
    <col min="8150" max="8150" width="16.28515625" style="220" customWidth="1"/>
    <col min="8151" max="8151" width="20.28515625" style="220" bestFit="1" customWidth="1"/>
    <col min="8152" max="8154" width="20.28515625" style="220" customWidth="1"/>
    <col min="8155" max="8155" width="20.28515625" style="220" bestFit="1" customWidth="1"/>
    <col min="8156" max="8156" width="15.42578125" style="220" customWidth="1"/>
    <col min="8157" max="8157" width="20.28515625" style="220" bestFit="1" customWidth="1"/>
    <col min="8158" max="8160" width="20.28515625" style="220" customWidth="1"/>
    <col min="8161" max="8161" width="20.28515625" style="220" bestFit="1" customWidth="1"/>
    <col min="8162" max="8162" width="15.42578125" style="220" customWidth="1"/>
    <col min="8163" max="8163" width="20.7109375" style="220" bestFit="1" customWidth="1"/>
    <col min="8164" max="8166" width="20.7109375" style="220" customWidth="1"/>
    <col min="8167" max="8167" width="20.7109375" style="220" bestFit="1" customWidth="1"/>
    <col min="8168" max="8168" width="12.140625" style="220" customWidth="1"/>
    <col min="8169" max="8397" width="8.7109375" style="220" customWidth="1"/>
    <col min="8398" max="8398" width="7.28515625" style="220" customWidth="1"/>
    <col min="8399" max="8399" width="18.28515625" style="220" customWidth="1"/>
    <col min="8400" max="8400" width="23.42578125" style="220" bestFit="1" customWidth="1"/>
    <col min="8401" max="8402" width="10.140625" style="220" bestFit="1" customWidth="1"/>
    <col min="8403" max="8405" width="10.140625" style="220" customWidth="1"/>
    <col min="8406" max="8406" width="16.28515625" style="220" customWidth="1"/>
    <col min="8407" max="8407" width="20.28515625" style="220" bestFit="1" customWidth="1"/>
    <col min="8408" max="8410" width="20.28515625" style="220" customWidth="1"/>
    <col min="8411" max="8411" width="20.28515625" style="220" bestFit="1" customWidth="1"/>
    <col min="8412" max="8412" width="15.42578125" style="220" customWidth="1"/>
    <col min="8413" max="8413" width="20.28515625" style="220" bestFit="1" customWidth="1"/>
    <col min="8414" max="8416" width="20.28515625" style="220" customWidth="1"/>
    <col min="8417" max="8417" width="20.28515625" style="220" bestFit="1" customWidth="1"/>
    <col min="8418" max="8418" width="15.42578125" style="220" customWidth="1"/>
    <col min="8419" max="8419" width="20.7109375" style="220" bestFit="1" customWidth="1"/>
    <col min="8420" max="8422" width="20.7109375" style="220" customWidth="1"/>
    <col min="8423" max="8423" width="20.7109375" style="220" bestFit="1" customWidth="1"/>
    <col min="8424" max="8424" width="12.140625" style="220" customWidth="1"/>
    <col min="8425" max="8653" width="8.7109375" style="220" customWidth="1"/>
    <col min="8654" max="8654" width="7.28515625" style="220" customWidth="1"/>
    <col min="8655" max="8655" width="18.28515625" style="220" customWidth="1"/>
    <col min="8656" max="8656" width="23.42578125" style="220" bestFit="1" customWidth="1"/>
    <col min="8657" max="8658" width="10.140625" style="220" bestFit="1" customWidth="1"/>
    <col min="8659" max="8661" width="10.140625" style="220" customWidth="1"/>
    <col min="8662" max="8662" width="16.28515625" style="220" customWidth="1"/>
    <col min="8663" max="8663" width="20.28515625" style="220" bestFit="1" customWidth="1"/>
    <col min="8664" max="8666" width="20.28515625" style="220" customWidth="1"/>
    <col min="8667" max="8667" width="20.28515625" style="220" bestFit="1" customWidth="1"/>
    <col min="8668" max="8668" width="15.42578125" style="220" customWidth="1"/>
    <col min="8669" max="8669" width="20.28515625" style="220" bestFit="1" customWidth="1"/>
    <col min="8670" max="8672" width="20.28515625" style="220" customWidth="1"/>
    <col min="8673" max="8673" width="20.28515625" style="220" bestFit="1" customWidth="1"/>
    <col min="8674" max="8674" width="15.42578125" style="220" customWidth="1"/>
    <col min="8675" max="8675" width="20.7109375" style="220" bestFit="1" customWidth="1"/>
    <col min="8676" max="8678" width="20.7109375" style="220" customWidth="1"/>
    <col min="8679" max="8679" width="20.7109375" style="220" bestFit="1" customWidth="1"/>
    <col min="8680" max="8680" width="12.140625" style="220" customWidth="1"/>
    <col min="8681" max="8909" width="8.7109375" style="220" customWidth="1"/>
    <col min="8910" max="8910" width="7.28515625" style="220" customWidth="1"/>
    <col min="8911" max="8911" width="18.28515625" style="220" customWidth="1"/>
    <col min="8912" max="8912" width="23.42578125" style="220" bestFit="1" customWidth="1"/>
    <col min="8913" max="8914" width="10.140625" style="220" bestFit="1" customWidth="1"/>
    <col min="8915" max="8917" width="10.140625" style="220" customWidth="1"/>
    <col min="8918" max="8918" width="16.28515625" style="220" customWidth="1"/>
    <col min="8919" max="8919" width="20.28515625" style="220" bestFit="1" customWidth="1"/>
    <col min="8920" max="8922" width="20.28515625" style="220" customWidth="1"/>
    <col min="8923" max="8923" width="20.28515625" style="220" bestFit="1" customWidth="1"/>
    <col min="8924" max="8924" width="15.42578125" style="220" customWidth="1"/>
    <col min="8925" max="8925" width="20.28515625" style="220" bestFit="1" customWidth="1"/>
    <col min="8926" max="8928" width="20.28515625" style="220" customWidth="1"/>
    <col min="8929" max="8929" width="20.28515625" style="220" bestFit="1" customWidth="1"/>
    <col min="8930" max="8930" width="15.42578125" style="220" customWidth="1"/>
    <col min="8931" max="8931" width="20.7109375" style="220" bestFit="1" customWidth="1"/>
    <col min="8932" max="8934" width="20.7109375" style="220" customWidth="1"/>
    <col min="8935" max="8935" width="20.7109375" style="220" bestFit="1" customWidth="1"/>
    <col min="8936" max="8936" width="12.140625" style="220" customWidth="1"/>
    <col min="8937" max="9165" width="8.7109375" style="220" customWidth="1"/>
    <col min="9166" max="9166" width="7.28515625" style="220" customWidth="1"/>
    <col min="9167" max="9167" width="18.28515625" style="220" customWidth="1"/>
    <col min="9168" max="9168" width="23.42578125" style="220" bestFit="1" customWidth="1"/>
    <col min="9169" max="9170" width="10.140625" style="220" bestFit="1" customWidth="1"/>
    <col min="9171" max="9173" width="10.140625" style="220" customWidth="1"/>
    <col min="9174" max="9174" width="16.28515625" style="220" customWidth="1"/>
    <col min="9175" max="9175" width="20.28515625" style="220" bestFit="1" customWidth="1"/>
    <col min="9176" max="9178" width="20.28515625" style="220" customWidth="1"/>
    <col min="9179" max="9179" width="20.28515625" style="220" bestFit="1" customWidth="1"/>
    <col min="9180" max="9180" width="15.42578125" style="220" customWidth="1"/>
    <col min="9181" max="9181" width="20.28515625" style="220" bestFit="1" customWidth="1"/>
    <col min="9182" max="9184" width="20.28515625" style="220" customWidth="1"/>
    <col min="9185" max="9185" width="20.28515625" style="220" bestFit="1" customWidth="1"/>
    <col min="9186" max="9186" width="15.42578125" style="220" customWidth="1"/>
    <col min="9187" max="9187" width="20.7109375" style="220" bestFit="1" customWidth="1"/>
    <col min="9188" max="9190" width="20.7109375" style="220" customWidth="1"/>
    <col min="9191" max="9191" width="20.7109375" style="220" bestFit="1" customWidth="1"/>
    <col min="9192" max="9192" width="12.140625" style="220" customWidth="1"/>
    <col min="9193" max="9421" width="8.7109375" style="220" customWidth="1"/>
    <col min="9422" max="9422" width="7.28515625" style="220" customWidth="1"/>
    <col min="9423" max="9423" width="18.28515625" style="220" customWidth="1"/>
    <col min="9424" max="9424" width="23.42578125" style="220" bestFit="1" customWidth="1"/>
    <col min="9425" max="9426" width="10.140625" style="220" bestFit="1" customWidth="1"/>
    <col min="9427" max="9429" width="10.140625" style="220" customWidth="1"/>
    <col min="9430" max="9430" width="16.28515625" style="220" customWidth="1"/>
    <col min="9431" max="9431" width="20.28515625" style="220" bestFit="1" customWidth="1"/>
    <col min="9432" max="9434" width="20.28515625" style="220" customWidth="1"/>
    <col min="9435" max="9435" width="20.28515625" style="220" bestFit="1" customWidth="1"/>
    <col min="9436" max="9436" width="15.42578125" style="220" customWidth="1"/>
    <col min="9437" max="9437" width="20.28515625" style="220" bestFit="1" customWidth="1"/>
    <col min="9438" max="9440" width="20.28515625" style="220" customWidth="1"/>
    <col min="9441" max="9441" width="20.28515625" style="220" bestFit="1" customWidth="1"/>
    <col min="9442" max="9442" width="15.42578125" style="220" customWidth="1"/>
    <col min="9443" max="9443" width="20.7109375" style="220" bestFit="1" customWidth="1"/>
    <col min="9444" max="9446" width="20.7109375" style="220" customWidth="1"/>
    <col min="9447" max="9447" width="20.7109375" style="220" bestFit="1" customWidth="1"/>
    <col min="9448" max="9448" width="12.140625" style="220" customWidth="1"/>
    <col min="9449" max="9677" width="8.7109375" style="220" customWidth="1"/>
    <col min="9678" max="9678" width="7.28515625" style="220" customWidth="1"/>
    <col min="9679" max="9679" width="18.28515625" style="220" customWidth="1"/>
    <col min="9680" max="9680" width="23.42578125" style="220" bestFit="1" customWidth="1"/>
    <col min="9681" max="9682" width="10.140625" style="220" bestFit="1" customWidth="1"/>
    <col min="9683" max="9685" width="10.140625" style="220" customWidth="1"/>
    <col min="9686" max="9686" width="16.28515625" style="220" customWidth="1"/>
    <col min="9687" max="9687" width="20.28515625" style="220" bestFit="1" customWidth="1"/>
    <col min="9688" max="9690" width="20.28515625" style="220" customWidth="1"/>
    <col min="9691" max="9691" width="20.28515625" style="220" bestFit="1" customWidth="1"/>
    <col min="9692" max="9692" width="15.42578125" style="220" customWidth="1"/>
    <col min="9693" max="9693" width="20.28515625" style="220" bestFit="1" customWidth="1"/>
    <col min="9694" max="9696" width="20.28515625" style="220" customWidth="1"/>
    <col min="9697" max="9697" width="20.28515625" style="220" bestFit="1" customWidth="1"/>
    <col min="9698" max="9698" width="15.42578125" style="220" customWidth="1"/>
    <col min="9699" max="9699" width="20.7109375" style="220" bestFit="1" customWidth="1"/>
    <col min="9700" max="9702" width="20.7109375" style="220" customWidth="1"/>
    <col min="9703" max="9703" width="20.7109375" style="220" bestFit="1" customWidth="1"/>
    <col min="9704" max="9704" width="12.140625" style="220" customWidth="1"/>
    <col min="9705" max="9933" width="8.7109375" style="220" customWidth="1"/>
    <col min="9934" max="9934" width="7.28515625" style="220" customWidth="1"/>
    <col min="9935" max="9935" width="18.28515625" style="220" customWidth="1"/>
    <col min="9936" max="9936" width="23.42578125" style="220" bestFit="1" customWidth="1"/>
    <col min="9937" max="9938" width="10.140625" style="220" bestFit="1" customWidth="1"/>
    <col min="9939" max="9941" width="10.140625" style="220" customWidth="1"/>
    <col min="9942" max="9942" width="16.28515625" style="220" customWidth="1"/>
    <col min="9943" max="9943" width="20.28515625" style="220" bestFit="1" customWidth="1"/>
    <col min="9944" max="9946" width="20.28515625" style="220" customWidth="1"/>
    <col min="9947" max="9947" width="20.28515625" style="220" bestFit="1" customWidth="1"/>
    <col min="9948" max="9948" width="15.42578125" style="220" customWidth="1"/>
    <col min="9949" max="9949" width="20.28515625" style="220" bestFit="1" customWidth="1"/>
    <col min="9950" max="9952" width="20.28515625" style="220" customWidth="1"/>
    <col min="9953" max="9953" width="20.28515625" style="220" bestFit="1" customWidth="1"/>
    <col min="9954" max="9954" width="15.42578125" style="220" customWidth="1"/>
    <col min="9955" max="9955" width="20.7109375" style="220" bestFit="1" customWidth="1"/>
    <col min="9956" max="9958" width="20.7109375" style="220" customWidth="1"/>
    <col min="9959" max="9959" width="20.7109375" style="220" bestFit="1" customWidth="1"/>
    <col min="9960" max="9960" width="12.140625" style="220" customWidth="1"/>
    <col min="9961" max="10189" width="8.7109375" style="220" customWidth="1"/>
    <col min="10190" max="10190" width="7.28515625" style="220" customWidth="1"/>
    <col min="10191" max="10191" width="18.28515625" style="220" customWidth="1"/>
    <col min="10192" max="10192" width="23.42578125" style="220" bestFit="1" customWidth="1"/>
    <col min="10193" max="10194" width="10.140625" style="220" bestFit="1" customWidth="1"/>
    <col min="10195" max="10197" width="10.140625" style="220" customWidth="1"/>
    <col min="10198" max="10198" width="16.28515625" style="220" customWidth="1"/>
    <col min="10199" max="10199" width="20.28515625" style="220" bestFit="1" customWidth="1"/>
    <col min="10200" max="10202" width="20.28515625" style="220" customWidth="1"/>
    <col min="10203" max="10203" width="20.28515625" style="220" bestFit="1" customWidth="1"/>
    <col min="10204" max="10204" width="15.42578125" style="220" customWidth="1"/>
    <col min="10205" max="10205" width="20.28515625" style="220" bestFit="1" customWidth="1"/>
    <col min="10206" max="10208" width="20.28515625" style="220" customWidth="1"/>
    <col min="10209" max="10209" width="20.28515625" style="220" bestFit="1" customWidth="1"/>
    <col min="10210" max="10210" width="15.42578125" style="220" customWidth="1"/>
    <col min="10211" max="10211" width="20.7109375" style="220" bestFit="1" customWidth="1"/>
    <col min="10212" max="10214" width="20.7109375" style="220" customWidth="1"/>
    <col min="10215" max="10215" width="20.7109375" style="220" bestFit="1" customWidth="1"/>
    <col min="10216" max="10216" width="12.140625" style="220" customWidth="1"/>
    <col min="10217" max="10445" width="8.7109375" style="220" customWidth="1"/>
    <col min="10446" max="10446" width="7.28515625" style="220" customWidth="1"/>
    <col min="10447" max="10447" width="18.28515625" style="220" customWidth="1"/>
    <col min="10448" max="10448" width="23.42578125" style="220" bestFit="1" customWidth="1"/>
    <col min="10449" max="10450" width="10.140625" style="220" bestFit="1" customWidth="1"/>
    <col min="10451" max="10453" width="10.140625" style="220" customWidth="1"/>
    <col min="10454" max="10454" width="16.28515625" style="220" customWidth="1"/>
    <col min="10455" max="10455" width="20.28515625" style="220" bestFit="1" customWidth="1"/>
    <col min="10456" max="10458" width="20.28515625" style="220" customWidth="1"/>
    <col min="10459" max="10459" width="20.28515625" style="220" bestFit="1" customWidth="1"/>
    <col min="10460" max="10460" width="15.42578125" style="220" customWidth="1"/>
    <col min="10461" max="10461" width="20.28515625" style="220" bestFit="1" customWidth="1"/>
    <col min="10462" max="10464" width="20.28515625" style="220" customWidth="1"/>
    <col min="10465" max="10465" width="20.28515625" style="220" bestFit="1" customWidth="1"/>
    <col min="10466" max="10466" width="15.42578125" style="220" customWidth="1"/>
    <col min="10467" max="10467" width="20.7109375" style="220" bestFit="1" customWidth="1"/>
    <col min="10468" max="10470" width="20.7109375" style="220" customWidth="1"/>
    <col min="10471" max="10471" width="20.7109375" style="220" bestFit="1" customWidth="1"/>
    <col min="10472" max="10472" width="12.140625" style="220" customWidth="1"/>
    <col min="10473" max="10701" width="8.7109375" style="220" customWidth="1"/>
    <col min="10702" max="10702" width="7.28515625" style="220" customWidth="1"/>
    <col min="10703" max="10703" width="18.28515625" style="220" customWidth="1"/>
    <col min="10704" max="10704" width="23.42578125" style="220" bestFit="1" customWidth="1"/>
    <col min="10705" max="10706" width="10.140625" style="220" bestFit="1" customWidth="1"/>
    <col min="10707" max="10709" width="10.140625" style="220" customWidth="1"/>
    <col min="10710" max="10710" width="16.28515625" style="220" customWidth="1"/>
    <col min="10711" max="10711" width="20.28515625" style="220" bestFit="1" customWidth="1"/>
    <col min="10712" max="10714" width="20.28515625" style="220" customWidth="1"/>
    <col min="10715" max="10715" width="20.28515625" style="220" bestFit="1" customWidth="1"/>
    <col min="10716" max="10716" width="15.42578125" style="220" customWidth="1"/>
    <col min="10717" max="10717" width="20.28515625" style="220" bestFit="1" customWidth="1"/>
    <col min="10718" max="10720" width="20.28515625" style="220" customWidth="1"/>
    <col min="10721" max="10721" width="20.28515625" style="220" bestFit="1" customWidth="1"/>
    <col min="10722" max="10722" width="15.42578125" style="220" customWidth="1"/>
    <col min="10723" max="10723" width="20.7109375" style="220" bestFit="1" customWidth="1"/>
    <col min="10724" max="10726" width="20.7109375" style="220" customWidth="1"/>
    <col min="10727" max="10727" width="20.7109375" style="220" bestFit="1" customWidth="1"/>
    <col min="10728" max="10728" width="12.140625" style="220" customWidth="1"/>
    <col min="10729" max="10957" width="8.7109375" style="220" customWidth="1"/>
    <col min="10958" max="10958" width="7.28515625" style="220" customWidth="1"/>
    <col min="10959" max="10959" width="18.28515625" style="220" customWidth="1"/>
    <col min="10960" max="10960" width="23.42578125" style="220" bestFit="1" customWidth="1"/>
    <col min="10961" max="10962" width="10.140625" style="220" bestFit="1" customWidth="1"/>
    <col min="10963" max="10965" width="10.140625" style="220" customWidth="1"/>
    <col min="10966" max="10966" width="16.28515625" style="220" customWidth="1"/>
    <col min="10967" max="10967" width="20.28515625" style="220" bestFit="1" customWidth="1"/>
    <col min="10968" max="10970" width="20.28515625" style="220" customWidth="1"/>
    <col min="10971" max="10971" width="20.28515625" style="220" bestFit="1" customWidth="1"/>
    <col min="10972" max="10972" width="15.42578125" style="220" customWidth="1"/>
    <col min="10973" max="10973" width="20.28515625" style="220" bestFit="1" customWidth="1"/>
    <col min="10974" max="10976" width="20.28515625" style="220" customWidth="1"/>
    <col min="10977" max="10977" width="20.28515625" style="220" bestFit="1" customWidth="1"/>
    <col min="10978" max="10978" width="15.42578125" style="220" customWidth="1"/>
    <col min="10979" max="10979" width="20.7109375" style="220" bestFit="1" customWidth="1"/>
    <col min="10980" max="10982" width="20.7109375" style="220" customWidth="1"/>
    <col min="10983" max="10983" width="20.7109375" style="220" bestFit="1" customWidth="1"/>
    <col min="10984" max="10984" width="12.140625" style="220" customWidth="1"/>
    <col min="10985" max="11213" width="8.7109375" style="220" customWidth="1"/>
    <col min="11214" max="11214" width="7.28515625" style="220" customWidth="1"/>
    <col min="11215" max="11215" width="18.28515625" style="220" customWidth="1"/>
    <col min="11216" max="11216" width="23.42578125" style="220" bestFit="1" customWidth="1"/>
    <col min="11217" max="11218" width="10.140625" style="220" bestFit="1" customWidth="1"/>
    <col min="11219" max="11221" width="10.140625" style="220" customWidth="1"/>
    <col min="11222" max="11222" width="16.28515625" style="220" customWidth="1"/>
    <col min="11223" max="11223" width="20.28515625" style="220" bestFit="1" customWidth="1"/>
    <col min="11224" max="11226" width="20.28515625" style="220" customWidth="1"/>
    <col min="11227" max="11227" width="20.28515625" style="220" bestFit="1" customWidth="1"/>
    <col min="11228" max="11228" width="15.42578125" style="220" customWidth="1"/>
    <col min="11229" max="11229" width="20.28515625" style="220" bestFit="1" customWidth="1"/>
    <col min="11230" max="11232" width="20.28515625" style="220" customWidth="1"/>
    <col min="11233" max="11233" width="20.28515625" style="220" bestFit="1" customWidth="1"/>
    <col min="11234" max="11234" width="15.42578125" style="220" customWidth="1"/>
    <col min="11235" max="11235" width="20.7109375" style="220" bestFit="1" customWidth="1"/>
    <col min="11236" max="11238" width="20.7109375" style="220" customWidth="1"/>
    <col min="11239" max="11239" width="20.7109375" style="220" bestFit="1" customWidth="1"/>
    <col min="11240" max="11240" width="12.140625" style="220" customWidth="1"/>
    <col min="11241" max="11469" width="8.7109375" style="220" customWidth="1"/>
    <col min="11470" max="11470" width="7.28515625" style="220" customWidth="1"/>
    <col min="11471" max="11471" width="18.28515625" style="220" customWidth="1"/>
    <col min="11472" max="11472" width="23.42578125" style="220" bestFit="1" customWidth="1"/>
    <col min="11473" max="11474" width="10.140625" style="220" bestFit="1" customWidth="1"/>
    <col min="11475" max="11477" width="10.140625" style="220" customWidth="1"/>
    <col min="11478" max="11478" width="16.28515625" style="220" customWidth="1"/>
    <col min="11479" max="11479" width="20.28515625" style="220" bestFit="1" customWidth="1"/>
    <col min="11480" max="11482" width="20.28515625" style="220" customWidth="1"/>
    <col min="11483" max="11483" width="20.28515625" style="220" bestFit="1" customWidth="1"/>
    <col min="11484" max="11484" width="15.42578125" style="220" customWidth="1"/>
    <col min="11485" max="11485" width="20.28515625" style="220" bestFit="1" customWidth="1"/>
    <col min="11486" max="11488" width="20.28515625" style="220" customWidth="1"/>
    <col min="11489" max="11489" width="20.28515625" style="220" bestFit="1" customWidth="1"/>
    <col min="11490" max="11490" width="15.42578125" style="220" customWidth="1"/>
    <col min="11491" max="11491" width="20.7109375" style="220" bestFit="1" customWidth="1"/>
    <col min="11492" max="11494" width="20.7109375" style="220" customWidth="1"/>
    <col min="11495" max="11495" width="20.7109375" style="220" bestFit="1" customWidth="1"/>
    <col min="11496" max="11496" width="12.140625" style="220" customWidth="1"/>
    <col min="11497" max="11725" width="8.7109375" style="220" customWidth="1"/>
    <col min="11726" max="11726" width="7.28515625" style="220" customWidth="1"/>
    <col min="11727" max="11727" width="18.28515625" style="220" customWidth="1"/>
    <col min="11728" max="11728" width="23.42578125" style="220" bestFit="1" customWidth="1"/>
    <col min="11729" max="11730" width="10.140625" style="220" bestFit="1" customWidth="1"/>
    <col min="11731" max="11733" width="10.140625" style="220" customWidth="1"/>
    <col min="11734" max="11734" width="16.28515625" style="220" customWidth="1"/>
    <col min="11735" max="11735" width="20.28515625" style="220" bestFit="1" customWidth="1"/>
    <col min="11736" max="11738" width="20.28515625" style="220" customWidth="1"/>
    <col min="11739" max="11739" width="20.28515625" style="220" bestFit="1" customWidth="1"/>
    <col min="11740" max="11740" width="15.42578125" style="220" customWidth="1"/>
    <col min="11741" max="11741" width="20.28515625" style="220" bestFit="1" customWidth="1"/>
    <col min="11742" max="11744" width="20.28515625" style="220" customWidth="1"/>
    <col min="11745" max="11745" width="20.28515625" style="220" bestFit="1" customWidth="1"/>
    <col min="11746" max="11746" width="15.42578125" style="220" customWidth="1"/>
    <col min="11747" max="11747" width="20.7109375" style="220" bestFit="1" customWidth="1"/>
    <col min="11748" max="11750" width="20.7109375" style="220" customWidth="1"/>
    <col min="11751" max="11751" width="20.7109375" style="220" bestFit="1" customWidth="1"/>
    <col min="11752" max="11752" width="12.140625" style="220" customWidth="1"/>
    <col min="11753" max="11981" width="8.7109375" style="220" customWidth="1"/>
    <col min="11982" max="11982" width="7.28515625" style="220" customWidth="1"/>
    <col min="11983" max="11983" width="18.28515625" style="220" customWidth="1"/>
    <col min="11984" max="11984" width="23.42578125" style="220" bestFit="1" customWidth="1"/>
    <col min="11985" max="11986" width="10.140625" style="220" bestFit="1" customWidth="1"/>
    <col min="11987" max="11989" width="10.140625" style="220" customWidth="1"/>
    <col min="11990" max="11990" width="16.28515625" style="220" customWidth="1"/>
    <col min="11991" max="11991" width="20.28515625" style="220" bestFit="1" customWidth="1"/>
    <col min="11992" max="11994" width="20.28515625" style="220" customWidth="1"/>
    <col min="11995" max="11995" width="20.28515625" style="220" bestFit="1" customWidth="1"/>
    <col min="11996" max="11996" width="15.42578125" style="220" customWidth="1"/>
    <col min="11997" max="11997" width="20.28515625" style="220" bestFit="1" customWidth="1"/>
    <col min="11998" max="12000" width="20.28515625" style="220" customWidth="1"/>
    <col min="12001" max="12001" width="20.28515625" style="220" bestFit="1" customWidth="1"/>
    <col min="12002" max="12002" width="15.42578125" style="220" customWidth="1"/>
    <col min="12003" max="12003" width="20.7109375" style="220" bestFit="1" customWidth="1"/>
    <col min="12004" max="12006" width="20.7109375" style="220" customWidth="1"/>
    <col min="12007" max="12007" width="20.7109375" style="220" bestFit="1" customWidth="1"/>
    <col min="12008" max="12008" width="12.140625" style="220" customWidth="1"/>
    <col min="12009" max="12237" width="8.7109375" style="220" customWidth="1"/>
    <col min="12238" max="12238" width="7.28515625" style="220" customWidth="1"/>
    <col min="12239" max="12239" width="18.28515625" style="220" customWidth="1"/>
    <col min="12240" max="12240" width="23.42578125" style="220" bestFit="1" customWidth="1"/>
    <col min="12241" max="12242" width="10.140625" style="220" bestFit="1" customWidth="1"/>
    <col min="12243" max="12245" width="10.140625" style="220" customWidth="1"/>
    <col min="12246" max="12246" width="16.28515625" style="220" customWidth="1"/>
    <col min="12247" max="12247" width="20.28515625" style="220" bestFit="1" customWidth="1"/>
    <col min="12248" max="12250" width="20.28515625" style="220" customWidth="1"/>
    <col min="12251" max="12251" width="20.28515625" style="220" bestFit="1" customWidth="1"/>
    <col min="12252" max="12252" width="15.42578125" style="220" customWidth="1"/>
    <col min="12253" max="12253" width="20.28515625" style="220" bestFit="1" customWidth="1"/>
    <col min="12254" max="12256" width="20.28515625" style="220" customWidth="1"/>
    <col min="12257" max="12257" width="20.28515625" style="220" bestFit="1" customWidth="1"/>
    <col min="12258" max="12258" width="15.42578125" style="220" customWidth="1"/>
    <col min="12259" max="12259" width="20.7109375" style="220" bestFit="1" customWidth="1"/>
    <col min="12260" max="12262" width="20.7109375" style="220" customWidth="1"/>
    <col min="12263" max="12263" width="20.7109375" style="220" bestFit="1" customWidth="1"/>
    <col min="12264" max="12264" width="12.140625" style="220" customWidth="1"/>
    <col min="12265" max="12493" width="8.7109375" style="220" customWidth="1"/>
    <col min="12494" max="12494" width="7.28515625" style="220" customWidth="1"/>
    <col min="12495" max="12495" width="18.28515625" style="220" customWidth="1"/>
    <col min="12496" max="12496" width="23.42578125" style="220" bestFit="1" customWidth="1"/>
    <col min="12497" max="12498" width="10.140625" style="220" bestFit="1" customWidth="1"/>
    <col min="12499" max="12501" width="10.140625" style="220" customWidth="1"/>
    <col min="12502" max="12502" width="16.28515625" style="220" customWidth="1"/>
    <col min="12503" max="12503" width="20.28515625" style="220" bestFit="1" customWidth="1"/>
    <col min="12504" max="12506" width="20.28515625" style="220" customWidth="1"/>
    <col min="12507" max="12507" width="20.28515625" style="220" bestFit="1" customWidth="1"/>
    <col min="12508" max="12508" width="15.42578125" style="220" customWidth="1"/>
    <col min="12509" max="12509" width="20.28515625" style="220" bestFit="1" customWidth="1"/>
    <col min="12510" max="12512" width="20.28515625" style="220" customWidth="1"/>
    <col min="12513" max="12513" width="20.28515625" style="220" bestFit="1" customWidth="1"/>
    <col min="12514" max="12514" width="15.42578125" style="220" customWidth="1"/>
    <col min="12515" max="12515" width="20.7109375" style="220" bestFit="1" customWidth="1"/>
    <col min="12516" max="12518" width="20.7109375" style="220" customWidth="1"/>
    <col min="12519" max="12519" width="20.7109375" style="220" bestFit="1" customWidth="1"/>
    <col min="12520" max="12520" width="12.140625" style="220" customWidth="1"/>
    <col min="12521" max="12749" width="8.7109375" style="220" customWidth="1"/>
    <col min="12750" max="12750" width="7.28515625" style="220" customWidth="1"/>
    <col min="12751" max="12751" width="18.28515625" style="220" customWidth="1"/>
    <col min="12752" max="12752" width="23.42578125" style="220" bestFit="1" customWidth="1"/>
    <col min="12753" max="12754" width="10.140625" style="220" bestFit="1" customWidth="1"/>
    <col min="12755" max="12757" width="10.140625" style="220" customWidth="1"/>
    <col min="12758" max="12758" width="16.28515625" style="220" customWidth="1"/>
    <col min="12759" max="12759" width="20.28515625" style="220" bestFit="1" customWidth="1"/>
    <col min="12760" max="12762" width="20.28515625" style="220" customWidth="1"/>
    <col min="12763" max="12763" width="20.28515625" style="220" bestFit="1" customWidth="1"/>
    <col min="12764" max="12764" width="15.42578125" style="220" customWidth="1"/>
    <col min="12765" max="12765" width="20.28515625" style="220" bestFit="1" customWidth="1"/>
    <col min="12766" max="12768" width="20.28515625" style="220" customWidth="1"/>
    <col min="12769" max="12769" width="20.28515625" style="220" bestFit="1" customWidth="1"/>
    <col min="12770" max="12770" width="15.42578125" style="220" customWidth="1"/>
    <col min="12771" max="12771" width="20.7109375" style="220" bestFit="1" customWidth="1"/>
    <col min="12772" max="12774" width="20.7109375" style="220" customWidth="1"/>
    <col min="12775" max="12775" width="20.7109375" style="220" bestFit="1" customWidth="1"/>
    <col min="12776" max="12776" width="12.140625" style="220" customWidth="1"/>
    <col min="12777" max="13005" width="8.7109375" style="220" customWidth="1"/>
    <col min="13006" max="13006" width="7.28515625" style="220" customWidth="1"/>
    <col min="13007" max="13007" width="18.28515625" style="220" customWidth="1"/>
    <col min="13008" max="13008" width="23.42578125" style="220" bestFit="1" customWidth="1"/>
    <col min="13009" max="13010" width="10.140625" style="220" bestFit="1" customWidth="1"/>
    <col min="13011" max="13013" width="10.140625" style="220" customWidth="1"/>
    <col min="13014" max="13014" width="16.28515625" style="220" customWidth="1"/>
    <col min="13015" max="13015" width="20.28515625" style="220" bestFit="1" customWidth="1"/>
    <col min="13016" max="13018" width="20.28515625" style="220" customWidth="1"/>
    <col min="13019" max="13019" width="20.28515625" style="220" bestFit="1" customWidth="1"/>
    <col min="13020" max="13020" width="15.42578125" style="220" customWidth="1"/>
    <col min="13021" max="13021" width="20.28515625" style="220" bestFit="1" customWidth="1"/>
    <col min="13022" max="13024" width="20.28515625" style="220" customWidth="1"/>
    <col min="13025" max="13025" width="20.28515625" style="220" bestFit="1" customWidth="1"/>
    <col min="13026" max="13026" width="15.42578125" style="220" customWidth="1"/>
    <col min="13027" max="13027" width="20.7109375" style="220" bestFit="1" customWidth="1"/>
    <col min="13028" max="13030" width="20.7109375" style="220" customWidth="1"/>
    <col min="13031" max="13031" width="20.7109375" style="220" bestFit="1" customWidth="1"/>
    <col min="13032" max="13032" width="12.140625" style="220" customWidth="1"/>
    <col min="13033" max="13261" width="8.7109375" style="220" customWidth="1"/>
    <col min="13262" max="13262" width="7.28515625" style="220" customWidth="1"/>
    <col min="13263" max="13263" width="18.28515625" style="220" customWidth="1"/>
    <col min="13264" max="13264" width="23.42578125" style="220" bestFit="1" customWidth="1"/>
    <col min="13265" max="13266" width="10.140625" style="220" bestFit="1" customWidth="1"/>
    <col min="13267" max="13269" width="10.140625" style="220" customWidth="1"/>
    <col min="13270" max="13270" width="16.28515625" style="220" customWidth="1"/>
    <col min="13271" max="13271" width="20.28515625" style="220" bestFit="1" customWidth="1"/>
    <col min="13272" max="13274" width="20.28515625" style="220" customWidth="1"/>
    <col min="13275" max="13275" width="20.28515625" style="220" bestFit="1" customWidth="1"/>
    <col min="13276" max="13276" width="15.42578125" style="220" customWidth="1"/>
    <col min="13277" max="13277" width="20.28515625" style="220" bestFit="1" customWidth="1"/>
    <col min="13278" max="13280" width="20.28515625" style="220" customWidth="1"/>
    <col min="13281" max="13281" width="20.28515625" style="220" bestFit="1" customWidth="1"/>
    <col min="13282" max="13282" width="15.42578125" style="220" customWidth="1"/>
    <col min="13283" max="13283" width="20.7109375" style="220" bestFit="1" customWidth="1"/>
    <col min="13284" max="13286" width="20.7109375" style="220" customWidth="1"/>
    <col min="13287" max="13287" width="20.7109375" style="220" bestFit="1" customWidth="1"/>
    <col min="13288" max="13288" width="12.140625" style="220" customWidth="1"/>
    <col min="13289" max="13517" width="8.7109375" style="220" customWidth="1"/>
    <col min="13518" max="13518" width="7.28515625" style="220" customWidth="1"/>
    <col min="13519" max="13519" width="18.28515625" style="220" customWidth="1"/>
    <col min="13520" max="13520" width="23.42578125" style="220" bestFit="1" customWidth="1"/>
    <col min="13521" max="13522" width="10.140625" style="220" bestFit="1" customWidth="1"/>
    <col min="13523" max="13525" width="10.140625" style="220" customWidth="1"/>
    <col min="13526" max="13526" width="16.28515625" style="220" customWidth="1"/>
    <col min="13527" max="13527" width="20.28515625" style="220" bestFit="1" customWidth="1"/>
    <col min="13528" max="13530" width="20.28515625" style="220" customWidth="1"/>
    <col min="13531" max="13531" width="20.28515625" style="220" bestFit="1" customWidth="1"/>
    <col min="13532" max="13532" width="15.42578125" style="220" customWidth="1"/>
    <col min="13533" max="13533" width="20.28515625" style="220" bestFit="1" customWidth="1"/>
    <col min="13534" max="13536" width="20.28515625" style="220" customWidth="1"/>
    <col min="13537" max="13537" width="20.28515625" style="220" bestFit="1" customWidth="1"/>
    <col min="13538" max="13538" width="15.42578125" style="220" customWidth="1"/>
    <col min="13539" max="13539" width="20.7109375" style="220" bestFit="1" customWidth="1"/>
    <col min="13540" max="13542" width="20.7109375" style="220" customWidth="1"/>
    <col min="13543" max="13543" width="20.7109375" style="220" bestFit="1" customWidth="1"/>
    <col min="13544" max="13544" width="12.140625" style="220" customWidth="1"/>
    <col min="13545" max="13773" width="8.7109375" style="220" customWidth="1"/>
    <col min="13774" max="13774" width="7.28515625" style="220" customWidth="1"/>
    <col min="13775" max="13775" width="18.28515625" style="220" customWidth="1"/>
    <col min="13776" max="13776" width="23.42578125" style="220" bestFit="1" customWidth="1"/>
    <col min="13777" max="13778" width="10.140625" style="220" bestFit="1" customWidth="1"/>
    <col min="13779" max="13781" width="10.140625" style="220" customWidth="1"/>
    <col min="13782" max="13782" width="16.28515625" style="220" customWidth="1"/>
    <col min="13783" max="13783" width="20.28515625" style="220" bestFit="1" customWidth="1"/>
    <col min="13784" max="13786" width="20.28515625" style="220" customWidth="1"/>
    <col min="13787" max="13787" width="20.28515625" style="220" bestFit="1" customWidth="1"/>
    <col min="13788" max="13788" width="15.42578125" style="220" customWidth="1"/>
    <col min="13789" max="13789" width="20.28515625" style="220" bestFit="1" customWidth="1"/>
    <col min="13790" max="13792" width="20.28515625" style="220" customWidth="1"/>
    <col min="13793" max="13793" width="20.28515625" style="220" bestFit="1" customWidth="1"/>
    <col min="13794" max="13794" width="15.42578125" style="220" customWidth="1"/>
    <col min="13795" max="13795" width="20.7109375" style="220" bestFit="1" customWidth="1"/>
    <col min="13796" max="13798" width="20.7109375" style="220" customWidth="1"/>
    <col min="13799" max="13799" width="20.7109375" style="220" bestFit="1" customWidth="1"/>
    <col min="13800" max="13800" width="12.140625" style="220" customWidth="1"/>
    <col min="13801" max="14029" width="8.7109375" style="220" customWidth="1"/>
    <col min="14030" max="14030" width="7.28515625" style="220" customWidth="1"/>
    <col min="14031" max="14031" width="18.28515625" style="220" customWidth="1"/>
    <col min="14032" max="14032" width="23.42578125" style="220" bestFit="1" customWidth="1"/>
    <col min="14033" max="14034" width="10.140625" style="220" bestFit="1" customWidth="1"/>
    <col min="14035" max="14037" width="10.140625" style="220" customWidth="1"/>
    <col min="14038" max="14038" width="16.28515625" style="220" customWidth="1"/>
    <col min="14039" max="14039" width="20.28515625" style="220" bestFit="1" customWidth="1"/>
    <col min="14040" max="14042" width="20.28515625" style="220" customWidth="1"/>
    <col min="14043" max="14043" width="20.28515625" style="220" bestFit="1" customWidth="1"/>
    <col min="14044" max="14044" width="15.42578125" style="220" customWidth="1"/>
    <col min="14045" max="14045" width="20.28515625" style="220" bestFit="1" customWidth="1"/>
    <col min="14046" max="14048" width="20.28515625" style="220" customWidth="1"/>
    <col min="14049" max="14049" width="20.28515625" style="220" bestFit="1" customWidth="1"/>
    <col min="14050" max="14050" width="15.42578125" style="220" customWidth="1"/>
    <col min="14051" max="14051" width="20.7109375" style="220" bestFit="1" customWidth="1"/>
    <col min="14052" max="14054" width="20.7109375" style="220" customWidth="1"/>
    <col min="14055" max="14055" width="20.7109375" style="220" bestFit="1" customWidth="1"/>
    <col min="14056" max="14056" width="12.140625" style="220" customWidth="1"/>
    <col min="14057" max="14285" width="8.7109375" style="220" customWidth="1"/>
    <col min="14286" max="14286" width="7.28515625" style="220" customWidth="1"/>
    <col min="14287" max="14287" width="18.28515625" style="220" customWidth="1"/>
    <col min="14288" max="14288" width="23.42578125" style="220" bestFit="1" customWidth="1"/>
    <col min="14289" max="14290" width="10.140625" style="220" bestFit="1" customWidth="1"/>
    <col min="14291" max="14293" width="10.140625" style="220" customWidth="1"/>
    <col min="14294" max="14294" width="16.28515625" style="220" customWidth="1"/>
    <col min="14295" max="14295" width="20.28515625" style="220" bestFit="1" customWidth="1"/>
    <col min="14296" max="14298" width="20.28515625" style="220" customWidth="1"/>
    <col min="14299" max="14299" width="20.28515625" style="220" bestFit="1" customWidth="1"/>
    <col min="14300" max="14300" width="15.42578125" style="220" customWidth="1"/>
    <col min="14301" max="14301" width="20.28515625" style="220" bestFit="1" customWidth="1"/>
    <col min="14302" max="14304" width="20.28515625" style="220" customWidth="1"/>
    <col min="14305" max="14305" width="20.28515625" style="220" bestFit="1" customWidth="1"/>
    <col min="14306" max="14306" width="15.42578125" style="220" customWidth="1"/>
    <col min="14307" max="14307" width="20.7109375" style="220" bestFit="1" customWidth="1"/>
    <col min="14308" max="14310" width="20.7109375" style="220" customWidth="1"/>
    <col min="14311" max="14311" width="20.7109375" style="220" bestFit="1" customWidth="1"/>
    <col min="14312" max="14312" width="12.140625" style="220" customWidth="1"/>
    <col min="14313" max="14541" width="8.7109375" style="220" customWidth="1"/>
    <col min="14542" max="14542" width="7.28515625" style="220" customWidth="1"/>
    <col min="14543" max="14543" width="18.28515625" style="220" customWidth="1"/>
    <col min="14544" max="14544" width="23.42578125" style="220" bestFit="1" customWidth="1"/>
    <col min="14545" max="14546" width="10.140625" style="220" bestFit="1" customWidth="1"/>
    <col min="14547" max="14549" width="10.140625" style="220" customWidth="1"/>
    <col min="14550" max="14550" width="16.28515625" style="220" customWidth="1"/>
    <col min="14551" max="14551" width="20.28515625" style="220" bestFit="1" customWidth="1"/>
    <col min="14552" max="14554" width="20.28515625" style="220" customWidth="1"/>
    <col min="14555" max="14555" width="20.28515625" style="220" bestFit="1" customWidth="1"/>
    <col min="14556" max="14556" width="15.42578125" style="220" customWidth="1"/>
    <col min="14557" max="14557" width="20.28515625" style="220" bestFit="1" customWidth="1"/>
    <col min="14558" max="14560" width="20.28515625" style="220" customWidth="1"/>
    <col min="14561" max="14561" width="20.28515625" style="220" bestFit="1" customWidth="1"/>
    <col min="14562" max="14562" width="15.42578125" style="220" customWidth="1"/>
    <col min="14563" max="14563" width="20.7109375" style="220" bestFit="1" customWidth="1"/>
    <col min="14564" max="14566" width="20.7109375" style="220" customWidth="1"/>
    <col min="14567" max="14567" width="20.7109375" style="220" bestFit="1" customWidth="1"/>
    <col min="14568" max="14568" width="12.140625" style="220" customWidth="1"/>
    <col min="14569" max="14797" width="8.7109375" style="220" customWidth="1"/>
    <col min="14798" max="14798" width="7.28515625" style="220" customWidth="1"/>
    <col min="14799" max="14799" width="18.28515625" style="220" customWidth="1"/>
    <col min="14800" max="14800" width="23.42578125" style="220" bestFit="1" customWidth="1"/>
    <col min="14801" max="14802" width="10.140625" style="220" bestFit="1" customWidth="1"/>
    <col min="14803" max="14805" width="10.140625" style="220" customWidth="1"/>
    <col min="14806" max="14806" width="16.28515625" style="220" customWidth="1"/>
    <col min="14807" max="14807" width="20.28515625" style="220" bestFit="1" customWidth="1"/>
    <col min="14808" max="14810" width="20.28515625" style="220" customWidth="1"/>
    <col min="14811" max="14811" width="20.28515625" style="220" bestFit="1" customWidth="1"/>
    <col min="14812" max="14812" width="15.42578125" style="220" customWidth="1"/>
    <col min="14813" max="14813" width="20.28515625" style="220" bestFit="1" customWidth="1"/>
    <col min="14814" max="14816" width="20.28515625" style="220" customWidth="1"/>
    <col min="14817" max="14817" width="20.28515625" style="220" bestFit="1" customWidth="1"/>
    <col min="14818" max="14818" width="15.42578125" style="220" customWidth="1"/>
    <col min="14819" max="14819" width="20.7109375" style="220" bestFit="1" customWidth="1"/>
    <col min="14820" max="14822" width="20.7109375" style="220" customWidth="1"/>
    <col min="14823" max="14823" width="20.7109375" style="220" bestFit="1" customWidth="1"/>
    <col min="14824" max="14824" width="12.140625" style="220" customWidth="1"/>
    <col min="14825" max="15053" width="8.7109375" style="220" customWidth="1"/>
    <col min="15054" max="15054" width="7.28515625" style="220" customWidth="1"/>
    <col min="15055" max="15055" width="18.28515625" style="220" customWidth="1"/>
    <col min="15056" max="15056" width="23.42578125" style="220" bestFit="1" customWidth="1"/>
    <col min="15057" max="15058" width="10.140625" style="220" bestFit="1" customWidth="1"/>
    <col min="15059" max="15061" width="10.140625" style="220" customWidth="1"/>
    <col min="15062" max="15062" width="16.28515625" style="220" customWidth="1"/>
    <col min="15063" max="15063" width="20.28515625" style="220" bestFit="1" customWidth="1"/>
    <col min="15064" max="15066" width="20.28515625" style="220" customWidth="1"/>
    <col min="15067" max="15067" width="20.28515625" style="220" bestFit="1" customWidth="1"/>
    <col min="15068" max="15068" width="15.42578125" style="220" customWidth="1"/>
    <col min="15069" max="15069" width="20.28515625" style="220" bestFit="1" customWidth="1"/>
    <col min="15070" max="15072" width="20.28515625" style="220" customWidth="1"/>
    <col min="15073" max="15073" width="20.28515625" style="220" bestFit="1" customWidth="1"/>
    <col min="15074" max="15074" width="15.42578125" style="220" customWidth="1"/>
    <col min="15075" max="15075" width="20.7109375" style="220" bestFit="1" customWidth="1"/>
    <col min="15076" max="15078" width="20.7109375" style="220" customWidth="1"/>
    <col min="15079" max="15079" width="20.7109375" style="220" bestFit="1" customWidth="1"/>
    <col min="15080" max="15080" width="12.140625" style="220" customWidth="1"/>
    <col min="15081" max="15309" width="8.7109375" style="220" customWidth="1"/>
    <col min="15310" max="15310" width="7.28515625" style="220" customWidth="1"/>
    <col min="15311" max="15311" width="18.28515625" style="220" customWidth="1"/>
    <col min="15312" max="15312" width="23.42578125" style="220" bestFit="1" customWidth="1"/>
    <col min="15313" max="15314" width="10.140625" style="220" bestFit="1" customWidth="1"/>
    <col min="15315" max="15317" width="10.140625" style="220" customWidth="1"/>
    <col min="15318" max="15318" width="16.28515625" style="220" customWidth="1"/>
    <col min="15319" max="15319" width="20.28515625" style="220" bestFit="1" customWidth="1"/>
    <col min="15320" max="15322" width="20.28515625" style="220" customWidth="1"/>
    <col min="15323" max="15323" width="20.28515625" style="220" bestFit="1" customWidth="1"/>
    <col min="15324" max="15324" width="15.42578125" style="220" customWidth="1"/>
    <col min="15325" max="15325" width="20.28515625" style="220" bestFit="1" customWidth="1"/>
    <col min="15326" max="15328" width="20.28515625" style="220" customWidth="1"/>
    <col min="15329" max="15329" width="20.28515625" style="220" bestFit="1" customWidth="1"/>
    <col min="15330" max="15330" width="15.42578125" style="220" customWidth="1"/>
    <col min="15331" max="15331" width="20.7109375" style="220" bestFit="1" customWidth="1"/>
    <col min="15332" max="15334" width="20.7109375" style="220" customWidth="1"/>
    <col min="15335" max="15335" width="20.7109375" style="220" bestFit="1" customWidth="1"/>
    <col min="15336" max="15336" width="12.140625" style="220" customWidth="1"/>
    <col min="15337" max="15565" width="8.7109375" style="220" customWidth="1"/>
    <col min="15566" max="15566" width="7.28515625" style="220" customWidth="1"/>
    <col min="15567" max="15567" width="18.28515625" style="220" customWidth="1"/>
    <col min="15568" max="15568" width="23.42578125" style="220" bestFit="1" customWidth="1"/>
    <col min="15569" max="15570" width="10.140625" style="220" bestFit="1" customWidth="1"/>
    <col min="15571" max="15573" width="10.140625" style="220" customWidth="1"/>
    <col min="15574" max="15574" width="16.28515625" style="220" customWidth="1"/>
    <col min="15575" max="15575" width="20.28515625" style="220" bestFit="1" customWidth="1"/>
    <col min="15576" max="15578" width="20.28515625" style="220" customWidth="1"/>
    <col min="15579" max="15579" width="20.28515625" style="220" bestFit="1" customWidth="1"/>
    <col min="15580" max="15580" width="15.42578125" style="220" customWidth="1"/>
    <col min="15581" max="15581" width="20.28515625" style="220" bestFit="1" customWidth="1"/>
    <col min="15582" max="15584" width="20.28515625" style="220" customWidth="1"/>
    <col min="15585" max="15585" width="20.28515625" style="220" bestFit="1" customWidth="1"/>
    <col min="15586" max="15586" width="15.42578125" style="220" customWidth="1"/>
    <col min="15587" max="15587" width="20.7109375" style="220" bestFit="1" customWidth="1"/>
    <col min="15588" max="15590" width="20.7109375" style="220" customWidth="1"/>
    <col min="15591" max="15591" width="20.7109375" style="220" bestFit="1" customWidth="1"/>
    <col min="15592" max="15592" width="12.140625" style="220" customWidth="1"/>
    <col min="15593" max="15821" width="8.7109375" style="220" customWidth="1"/>
    <col min="15822" max="15822" width="7.28515625" style="220" customWidth="1"/>
    <col min="15823" max="15823" width="18.28515625" style="220" customWidth="1"/>
    <col min="15824" max="15824" width="23.42578125" style="220" bestFit="1" customWidth="1"/>
    <col min="15825" max="15826" width="10.140625" style="220" bestFit="1" customWidth="1"/>
    <col min="15827" max="15829" width="10.140625" style="220" customWidth="1"/>
    <col min="15830" max="15830" width="16.28515625" style="220" customWidth="1"/>
    <col min="15831" max="15831" width="20.28515625" style="220" bestFit="1" customWidth="1"/>
    <col min="15832" max="15834" width="20.28515625" style="220" customWidth="1"/>
    <col min="15835" max="15835" width="20.28515625" style="220" bestFit="1" customWidth="1"/>
    <col min="15836" max="15836" width="15.42578125" style="220" customWidth="1"/>
    <col min="15837" max="15837" width="20.28515625" style="220" bestFit="1" customWidth="1"/>
    <col min="15838" max="15840" width="20.28515625" style="220" customWidth="1"/>
    <col min="15841" max="15841" width="20.28515625" style="220" bestFit="1" customWidth="1"/>
    <col min="15842" max="15842" width="15.42578125" style="220" customWidth="1"/>
    <col min="15843" max="15843" width="20.7109375" style="220" bestFit="1" customWidth="1"/>
    <col min="15844" max="15846" width="20.7109375" style="220" customWidth="1"/>
    <col min="15847" max="15847" width="20.7109375" style="220" bestFit="1" customWidth="1"/>
    <col min="15848" max="15848" width="12.140625" style="220" customWidth="1"/>
    <col min="15849" max="16077" width="8.7109375" style="220" customWidth="1"/>
    <col min="16078" max="16078" width="7.28515625" style="220" customWidth="1"/>
    <col min="16079" max="16079" width="18.28515625" style="220" customWidth="1"/>
    <col min="16080" max="16080" width="23.42578125" style="220" bestFit="1" customWidth="1"/>
    <col min="16081" max="16082" width="10.140625" style="220" bestFit="1" customWidth="1"/>
    <col min="16083" max="16085" width="10.140625" style="220" customWidth="1"/>
    <col min="16086" max="16086" width="16.28515625" style="220" customWidth="1"/>
    <col min="16087" max="16087" width="20.28515625" style="220" bestFit="1" customWidth="1"/>
    <col min="16088" max="16090" width="20.28515625" style="220" customWidth="1"/>
    <col min="16091" max="16091" width="20.28515625" style="220" bestFit="1" customWidth="1"/>
    <col min="16092" max="16092" width="15.42578125" style="220" customWidth="1"/>
    <col min="16093" max="16093" width="20.28515625" style="220" bestFit="1" customWidth="1"/>
    <col min="16094" max="16096" width="20.28515625" style="220" customWidth="1"/>
    <col min="16097" max="16097" width="20.28515625" style="220" bestFit="1" customWidth="1"/>
    <col min="16098" max="16098" width="15.42578125" style="220" customWidth="1"/>
    <col min="16099" max="16099" width="20.7109375" style="220" bestFit="1" customWidth="1"/>
    <col min="16100" max="16102" width="20.7109375" style="220" customWidth="1"/>
    <col min="16103" max="16103" width="20.7109375" style="220" bestFit="1" customWidth="1"/>
    <col min="16104" max="16104" width="12.140625" style="220" customWidth="1"/>
    <col min="16105" max="16384" width="8.7109375" style="220" customWidth="1"/>
  </cols>
  <sheetData>
    <row r="1" spans="1:17" s="194" customFormat="1"/>
    <row r="2" spans="1:17" s="194" customFormat="1" ht="13.5" thickBot="1"/>
    <row r="3" spans="1:17" s="194" customFormat="1" ht="13.5" thickBot="1">
      <c r="A3" s="338" t="s">
        <v>115</v>
      </c>
      <c r="B3" s="347" t="s">
        <v>314</v>
      </c>
      <c r="C3" s="342" t="s">
        <v>178</v>
      </c>
      <c r="D3" s="388" t="s">
        <v>343</v>
      </c>
      <c r="E3" s="389"/>
      <c r="F3" s="390"/>
      <c r="G3" s="391" t="s">
        <v>344</v>
      </c>
      <c r="H3" s="385"/>
      <c r="I3" s="385"/>
      <c r="J3" s="385"/>
      <c r="K3" s="391" t="s">
        <v>345</v>
      </c>
      <c r="L3" s="385"/>
      <c r="M3" s="386"/>
      <c r="N3" s="333" t="s">
        <v>346</v>
      </c>
      <c r="O3" s="333"/>
      <c r="P3" s="333"/>
      <c r="Q3" s="334"/>
    </row>
    <row r="4" spans="1:17" s="194" customFormat="1" ht="46.5" customHeight="1" thickBot="1">
      <c r="A4" s="339"/>
      <c r="B4" s="348"/>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318</v>
      </c>
      <c r="C5" s="200"/>
      <c r="D5" s="201"/>
      <c r="E5" s="202"/>
      <c r="F5" s="202"/>
      <c r="G5" s="202"/>
      <c r="H5" s="203"/>
      <c r="I5" s="204"/>
      <c r="J5" s="200"/>
      <c r="K5" s="205"/>
      <c r="L5" s="206"/>
      <c r="M5" s="206"/>
      <c r="N5" s="206"/>
      <c r="O5" s="206"/>
      <c r="P5" s="206"/>
      <c r="Q5" s="206"/>
    </row>
    <row r="6" spans="1:17" s="194" customFormat="1">
      <c r="A6" s="198">
        <v>2</v>
      </c>
      <c r="B6" s="199" t="s">
        <v>319</v>
      </c>
      <c r="C6" s="200"/>
      <c r="D6" s="201"/>
      <c r="E6" s="202"/>
      <c r="F6" s="202"/>
      <c r="G6" s="202"/>
      <c r="H6" s="203"/>
      <c r="I6" s="204"/>
      <c r="J6" s="200"/>
      <c r="K6" s="205"/>
      <c r="L6" s="206"/>
      <c r="M6" s="206"/>
      <c r="N6" s="206"/>
      <c r="O6" s="206"/>
      <c r="P6" s="206"/>
      <c r="Q6" s="206"/>
    </row>
    <row r="7" spans="1:17" s="194" customFormat="1">
      <c r="A7" s="198">
        <v>3</v>
      </c>
      <c r="B7" s="199" t="s">
        <v>320</v>
      </c>
      <c r="C7" s="200"/>
      <c r="D7" s="201"/>
      <c r="E7" s="202"/>
      <c r="F7" s="202"/>
      <c r="G7" s="202"/>
      <c r="H7" s="203"/>
      <c r="I7" s="204"/>
      <c r="J7" s="200"/>
      <c r="K7" s="205"/>
      <c r="L7" s="206"/>
      <c r="M7" s="206"/>
      <c r="N7" s="206"/>
      <c r="O7" s="206"/>
      <c r="P7" s="206"/>
      <c r="Q7" s="206"/>
    </row>
    <row r="8" spans="1:17" s="194" customFormat="1">
      <c r="A8" s="198">
        <v>4</v>
      </c>
      <c r="B8" s="199" t="s">
        <v>321</v>
      </c>
      <c r="C8" s="200"/>
      <c r="D8" s="201"/>
      <c r="E8" s="202"/>
      <c r="F8" s="202"/>
      <c r="G8" s="202"/>
      <c r="H8" s="203"/>
      <c r="I8" s="204"/>
      <c r="J8" s="200"/>
      <c r="K8" s="205"/>
      <c r="L8" s="206"/>
      <c r="M8" s="206"/>
      <c r="N8" s="206"/>
      <c r="O8" s="206"/>
      <c r="P8" s="206"/>
      <c r="Q8" s="206"/>
    </row>
    <row r="9" spans="1:17" s="194" customFormat="1">
      <c r="A9" s="269"/>
      <c r="B9" s="244" t="s">
        <v>323</v>
      </c>
      <c r="C9" s="270"/>
      <c r="D9" s="271"/>
      <c r="E9" s="272"/>
      <c r="F9" s="272"/>
      <c r="G9" s="272"/>
      <c r="H9" s="273"/>
      <c r="I9" s="274"/>
      <c r="J9" s="270"/>
      <c r="K9" s="275"/>
      <c r="L9" s="276"/>
      <c r="M9" s="276"/>
      <c r="N9" s="276"/>
      <c r="O9" s="276"/>
      <c r="P9" s="276"/>
      <c r="Q9" s="276"/>
    </row>
    <row r="10" spans="1:17" s="194" customFormat="1">
      <c r="A10" s="198">
        <v>5</v>
      </c>
      <c r="B10" s="199" t="s">
        <v>322</v>
      </c>
      <c r="C10" s="200"/>
      <c r="D10" s="201"/>
      <c r="E10" s="202"/>
      <c r="F10" s="202"/>
      <c r="G10" s="202"/>
      <c r="H10" s="203"/>
      <c r="I10" s="204"/>
      <c r="J10" s="200"/>
      <c r="K10" s="205"/>
      <c r="L10" s="206"/>
      <c r="M10" s="206"/>
      <c r="N10" s="206"/>
      <c r="O10" s="206"/>
      <c r="P10" s="206"/>
      <c r="Q10" s="206"/>
    </row>
    <row r="11" spans="1:17" s="194" customFormat="1">
      <c r="A11" s="198">
        <v>7</v>
      </c>
      <c r="B11" s="199" t="s">
        <v>324</v>
      </c>
      <c r="C11" s="200"/>
      <c r="D11" s="201"/>
      <c r="E11" s="202"/>
      <c r="F11" s="202"/>
      <c r="G11" s="202"/>
      <c r="H11" s="203"/>
      <c r="I11" s="204"/>
      <c r="J11" s="200"/>
      <c r="K11" s="205"/>
      <c r="L11" s="206"/>
      <c r="M11" s="206"/>
      <c r="N11" s="206"/>
      <c r="O11" s="206"/>
      <c r="P11" s="206"/>
      <c r="Q11" s="206"/>
    </row>
    <row r="12" spans="1:17" s="194" customFormat="1">
      <c r="A12" s="198">
        <v>8</v>
      </c>
      <c r="B12" s="199" t="s">
        <v>325</v>
      </c>
      <c r="C12" s="200"/>
      <c r="D12" s="201"/>
      <c r="E12" s="202"/>
      <c r="F12" s="202"/>
      <c r="G12" s="202"/>
      <c r="H12" s="203"/>
      <c r="I12" s="204"/>
      <c r="J12" s="200"/>
      <c r="K12" s="205"/>
      <c r="L12" s="206"/>
      <c r="M12" s="206"/>
      <c r="N12" s="206"/>
      <c r="O12" s="206"/>
      <c r="P12" s="206"/>
      <c r="Q12" s="206"/>
    </row>
    <row r="13" spans="1:17" s="194" customFormat="1">
      <c r="A13" s="269"/>
      <c r="B13" s="244" t="s">
        <v>326</v>
      </c>
      <c r="C13" s="270"/>
      <c r="D13" s="271"/>
      <c r="E13" s="272"/>
      <c r="F13" s="272"/>
      <c r="G13" s="272"/>
      <c r="H13" s="273"/>
      <c r="I13" s="274"/>
      <c r="J13" s="270"/>
      <c r="K13" s="275"/>
      <c r="L13" s="276"/>
      <c r="M13" s="276"/>
      <c r="N13" s="276"/>
      <c r="O13" s="276"/>
      <c r="P13" s="276"/>
      <c r="Q13" s="276"/>
    </row>
    <row r="14" spans="1:17" s="219" customFormat="1" ht="15" customHeight="1" thickBot="1">
      <c r="A14" s="344" t="s">
        <v>5</v>
      </c>
      <c r="B14" s="345"/>
      <c r="C14" s="346"/>
      <c r="D14" s="261"/>
      <c r="E14" s="262"/>
      <c r="F14" s="262"/>
      <c r="G14" s="262"/>
      <c r="H14" s="263"/>
      <c r="I14" s="264"/>
      <c r="J14" s="265"/>
      <c r="K14" s="266"/>
      <c r="L14" s="267"/>
      <c r="M14" s="267"/>
      <c r="N14" s="267"/>
      <c r="O14" s="268"/>
      <c r="P14" s="268"/>
      <c r="Q14" s="268"/>
    </row>
  </sheetData>
  <mergeCells count="8">
    <mergeCell ref="A14:C14"/>
    <mergeCell ref="A3:A4"/>
    <mergeCell ref="B3:B4"/>
    <mergeCell ref="C3:C4"/>
    <mergeCell ref="D3:F3"/>
    <mergeCell ref="G3:J3"/>
    <mergeCell ref="K3:M3"/>
    <mergeCell ref="N3:Q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2"/>
  <sheetViews>
    <sheetView workbookViewId="0">
      <selection activeCell="D3" sqref="D3:Q4"/>
    </sheetView>
  </sheetViews>
  <sheetFormatPr defaultColWidth="11.5703125" defaultRowHeight="12.75"/>
  <cols>
    <col min="1" max="1" width="7.28515625" style="220" customWidth="1"/>
    <col min="2" max="2" width="42.5703125" style="220" bestFit="1" customWidth="1"/>
    <col min="3" max="3" width="23.5703125" style="220" customWidth="1"/>
    <col min="4" max="8" width="21.85546875" style="220" customWidth="1"/>
    <col min="9" max="17" width="26.7109375" style="220" customWidth="1"/>
    <col min="18" max="215" width="8.7109375" style="220" customWidth="1"/>
    <col min="216" max="216" width="7.28515625" style="220" customWidth="1"/>
    <col min="217" max="217" width="18.28515625" style="220" customWidth="1"/>
    <col min="218" max="218" width="23.42578125" style="220" bestFit="1" customWidth="1"/>
    <col min="219" max="220" width="10.140625" style="220" bestFit="1" customWidth="1"/>
    <col min="221" max="223" width="10.140625" style="220" customWidth="1"/>
    <col min="224" max="224" width="16.28515625" style="220" customWidth="1"/>
    <col min="225" max="225" width="20.28515625" style="220" bestFit="1" customWidth="1"/>
    <col min="226" max="228" width="20.28515625" style="220" customWidth="1"/>
    <col min="229" max="229" width="20.28515625" style="220" bestFit="1" customWidth="1"/>
    <col min="230" max="230" width="15.42578125" style="220" customWidth="1"/>
    <col min="231" max="231" width="20.28515625" style="220" bestFit="1" customWidth="1"/>
    <col min="232" max="234" width="20.28515625" style="220" customWidth="1"/>
    <col min="235" max="235" width="20.28515625" style="220" bestFit="1" customWidth="1"/>
    <col min="236" max="236" width="15.42578125" style="220" customWidth="1"/>
    <col min="237" max="237" width="20.7109375" style="220" bestFit="1" customWidth="1"/>
    <col min="238" max="240" width="20.7109375" style="220" customWidth="1"/>
    <col min="241" max="241" width="20.7109375" style="220" bestFit="1" customWidth="1"/>
    <col min="242" max="242" width="12.140625" style="220" customWidth="1"/>
    <col min="243" max="471" width="8.7109375" style="220" customWidth="1"/>
    <col min="472" max="472" width="7.28515625" style="220" customWidth="1"/>
    <col min="473" max="473" width="18.28515625" style="220" customWidth="1"/>
    <col min="474" max="474" width="23.42578125" style="220" bestFit="1" customWidth="1"/>
    <col min="475" max="476" width="10.140625" style="220" bestFit="1" customWidth="1"/>
    <col min="477" max="479" width="10.140625" style="220" customWidth="1"/>
    <col min="480" max="480" width="16.28515625" style="220" customWidth="1"/>
    <col min="481" max="481" width="20.28515625" style="220" bestFit="1" customWidth="1"/>
    <col min="482" max="484" width="20.28515625" style="220" customWidth="1"/>
    <col min="485" max="485" width="20.28515625" style="220" bestFit="1" customWidth="1"/>
    <col min="486" max="486" width="15.42578125" style="220" customWidth="1"/>
    <col min="487" max="487" width="20.28515625" style="220" bestFit="1" customWidth="1"/>
    <col min="488" max="490" width="20.28515625" style="220" customWidth="1"/>
    <col min="491" max="491" width="20.28515625" style="220" bestFit="1" customWidth="1"/>
    <col min="492" max="492" width="15.42578125" style="220" customWidth="1"/>
    <col min="493" max="493" width="20.7109375" style="220" bestFit="1" customWidth="1"/>
    <col min="494" max="496" width="20.7109375" style="220" customWidth="1"/>
    <col min="497" max="497" width="20.7109375" style="220" bestFit="1" customWidth="1"/>
    <col min="498" max="498" width="12.140625" style="220" customWidth="1"/>
    <col min="499" max="727" width="8.7109375" style="220" customWidth="1"/>
    <col min="728" max="728" width="7.28515625" style="220" customWidth="1"/>
    <col min="729" max="729" width="18.28515625" style="220" customWidth="1"/>
    <col min="730" max="730" width="23.42578125" style="220" bestFit="1" customWidth="1"/>
    <col min="731" max="732" width="10.140625" style="220" bestFit="1" customWidth="1"/>
    <col min="733" max="735" width="10.140625" style="220" customWidth="1"/>
    <col min="736" max="736" width="16.28515625" style="220" customWidth="1"/>
    <col min="737" max="737" width="20.28515625" style="220" bestFit="1" customWidth="1"/>
    <col min="738" max="740" width="20.28515625" style="220" customWidth="1"/>
    <col min="741" max="741" width="20.28515625" style="220" bestFit="1" customWidth="1"/>
    <col min="742" max="742" width="15.42578125" style="220" customWidth="1"/>
    <col min="743" max="743" width="20.28515625" style="220" bestFit="1" customWidth="1"/>
    <col min="744" max="746" width="20.28515625" style="220" customWidth="1"/>
    <col min="747" max="747" width="20.28515625" style="220" bestFit="1" customWidth="1"/>
    <col min="748" max="748" width="15.42578125" style="220" customWidth="1"/>
    <col min="749" max="749" width="20.7109375" style="220" bestFit="1" customWidth="1"/>
    <col min="750" max="752" width="20.7109375" style="220" customWidth="1"/>
    <col min="753" max="753" width="20.7109375" style="220" bestFit="1" customWidth="1"/>
    <col min="754" max="754" width="12.140625" style="220" customWidth="1"/>
    <col min="755" max="983" width="8.7109375" style="220" customWidth="1"/>
    <col min="984" max="984" width="7.28515625" style="220" customWidth="1"/>
    <col min="985" max="985" width="18.28515625" style="220" customWidth="1"/>
    <col min="986" max="986" width="23.42578125" style="220" bestFit="1" customWidth="1"/>
    <col min="987" max="988" width="10.140625" style="220" bestFit="1" customWidth="1"/>
    <col min="989" max="991" width="10.140625" style="220" customWidth="1"/>
    <col min="992" max="992" width="16.28515625" style="220" customWidth="1"/>
    <col min="993" max="993" width="20.28515625" style="220" bestFit="1" customWidth="1"/>
    <col min="994" max="996" width="20.28515625" style="220" customWidth="1"/>
    <col min="997" max="997" width="20.28515625" style="220" bestFit="1" customWidth="1"/>
    <col min="998" max="998" width="15.42578125" style="220" customWidth="1"/>
    <col min="999" max="999" width="20.28515625" style="220" bestFit="1" customWidth="1"/>
    <col min="1000" max="1002" width="20.28515625" style="220" customWidth="1"/>
    <col min="1003" max="1003" width="20.28515625" style="220" bestFit="1" customWidth="1"/>
    <col min="1004" max="1004" width="15.42578125" style="220" customWidth="1"/>
    <col min="1005" max="1005" width="20.7109375" style="220" bestFit="1" customWidth="1"/>
    <col min="1006" max="1008" width="20.7109375" style="220" customWidth="1"/>
    <col min="1009" max="1009" width="20.7109375" style="220" bestFit="1" customWidth="1"/>
    <col min="1010" max="1010" width="12.140625" style="220" customWidth="1"/>
    <col min="1011" max="1239" width="8.7109375" style="220" customWidth="1"/>
    <col min="1240" max="1240" width="7.28515625" style="220" customWidth="1"/>
    <col min="1241" max="1241" width="18.28515625" style="220" customWidth="1"/>
    <col min="1242" max="1242" width="23.42578125" style="220" bestFit="1" customWidth="1"/>
    <col min="1243" max="1244" width="10.140625" style="220" bestFit="1" customWidth="1"/>
    <col min="1245" max="1247" width="10.140625" style="220" customWidth="1"/>
    <col min="1248" max="1248" width="16.28515625" style="220" customWidth="1"/>
    <col min="1249" max="1249" width="20.28515625" style="220" bestFit="1" customWidth="1"/>
    <col min="1250" max="1252" width="20.28515625" style="220" customWidth="1"/>
    <col min="1253" max="1253" width="20.28515625" style="220" bestFit="1" customWidth="1"/>
    <col min="1254" max="1254" width="15.42578125" style="220" customWidth="1"/>
    <col min="1255" max="1255" width="20.28515625" style="220" bestFit="1" customWidth="1"/>
    <col min="1256" max="1258" width="20.28515625" style="220" customWidth="1"/>
    <col min="1259" max="1259" width="20.28515625" style="220" bestFit="1" customWidth="1"/>
    <col min="1260" max="1260" width="15.42578125" style="220" customWidth="1"/>
    <col min="1261" max="1261" width="20.7109375" style="220" bestFit="1" customWidth="1"/>
    <col min="1262" max="1264" width="20.7109375" style="220" customWidth="1"/>
    <col min="1265" max="1265" width="20.7109375" style="220" bestFit="1" customWidth="1"/>
    <col min="1266" max="1266" width="12.140625" style="220" customWidth="1"/>
    <col min="1267" max="1495" width="8.7109375" style="220" customWidth="1"/>
    <col min="1496" max="1496" width="7.28515625" style="220" customWidth="1"/>
    <col min="1497" max="1497" width="18.28515625" style="220" customWidth="1"/>
    <col min="1498" max="1498" width="23.42578125" style="220" bestFit="1" customWidth="1"/>
    <col min="1499" max="1500" width="10.140625" style="220" bestFit="1" customWidth="1"/>
    <col min="1501" max="1503" width="10.140625" style="220" customWidth="1"/>
    <col min="1504" max="1504" width="16.28515625" style="220" customWidth="1"/>
    <col min="1505" max="1505" width="20.28515625" style="220" bestFit="1" customWidth="1"/>
    <col min="1506" max="1508" width="20.28515625" style="220" customWidth="1"/>
    <col min="1509" max="1509" width="20.28515625" style="220" bestFit="1" customWidth="1"/>
    <col min="1510" max="1510" width="15.42578125" style="220" customWidth="1"/>
    <col min="1511" max="1511" width="20.28515625" style="220" bestFit="1" customWidth="1"/>
    <col min="1512" max="1514" width="20.28515625" style="220" customWidth="1"/>
    <col min="1515" max="1515" width="20.28515625" style="220" bestFit="1" customWidth="1"/>
    <col min="1516" max="1516" width="15.42578125" style="220" customWidth="1"/>
    <col min="1517" max="1517" width="20.7109375" style="220" bestFit="1" customWidth="1"/>
    <col min="1518" max="1520" width="20.7109375" style="220" customWidth="1"/>
    <col min="1521" max="1521" width="20.7109375" style="220" bestFit="1" customWidth="1"/>
    <col min="1522" max="1522" width="12.140625" style="220" customWidth="1"/>
    <col min="1523" max="1751" width="8.7109375" style="220" customWidth="1"/>
    <col min="1752" max="1752" width="7.28515625" style="220" customWidth="1"/>
    <col min="1753" max="1753" width="18.28515625" style="220" customWidth="1"/>
    <col min="1754" max="1754" width="23.42578125" style="220" bestFit="1" customWidth="1"/>
    <col min="1755" max="1756" width="10.140625" style="220" bestFit="1" customWidth="1"/>
    <col min="1757" max="1759" width="10.140625" style="220" customWidth="1"/>
    <col min="1760" max="1760" width="16.28515625" style="220" customWidth="1"/>
    <col min="1761" max="1761" width="20.28515625" style="220" bestFit="1" customWidth="1"/>
    <col min="1762" max="1764" width="20.28515625" style="220" customWidth="1"/>
    <col min="1765" max="1765" width="20.28515625" style="220" bestFit="1" customWidth="1"/>
    <col min="1766" max="1766" width="15.42578125" style="220" customWidth="1"/>
    <col min="1767" max="1767" width="20.28515625" style="220" bestFit="1" customWidth="1"/>
    <col min="1768" max="1770" width="20.28515625" style="220" customWidth="1"/>
    <col min="1771" max="1771" width="20.28515625" style="220" bestFit="1" customWidth="1"/>
    <col min="1772" max="1772" width="15.42578125" style="220" customWidth="1"/>
    <col min="1773" max="1773" width="20.7109375" style="220" bestFit="1" customWidth="1"/>
    <col min="1774" max="1776" width="20.7109375" style="220" customWidth="1"/>
    <col min="1777" max="1777" width="20.7109375" style="220" bestFit="1" customWidth="1"/>
    <col min="1778" max="1778" width="12.140625" style="220" customWidth="1"/>
    <col min="1779" max="2007" width="8.7109375" style="220" customWidth="1"/>
    <col min="2008" max="2008" width="7.28515625" style="220" customWidth="1"/>
    <col min="2009" max="2009" width="18.28515625" style="220" customWidth="1"/>
    <col min="2010" max="2010" width="23.42578125" style="220" bestFit="1" customWidth="1"/>
    <col min="2011" max="2012" width="10.140625" style="220" bestFit="1" customWidth="1"/>
    <col min="2013" max="2015" width="10.140625" style="220" customWidth="1"/>
    <col min="2016" max="2016" width="16.28515625" style="220" customWidth="1"/>
    <col min="2017" max="2017" width="20.28515625" style="220" bestFit="1" customWidth="1"/>
    <col min="2018" max="2020" width="20.28515625" style="220" customWidth="1"/>
    <col min="2021" max="2021" width="20.28515625" style="220" bestFit="1" customWidth="1"/>
    <col min="2022" max="2022" width="15.42578125" style="220" customWidth="1"/>
    <col min="2023" max="2023" width="20.28515625" style="220" bestFit="1" customWidth="1"/>
    <col min="2024" max="2026" width="20.28515625" style="220" customWidth="1"/>
    <col min="2027" max="2027" width="20.28515625" style="220" bestFit="1" customWidth="1"/>
    <col min="2028" max="2028" width="15.42578125" style="220" customWidth="1"/>
    <col min="2029" max="2029" width="20.7109375" style="220" bestFit="1" customWidth="1"/>
    <col min="2030" max="2032" width="20.7109375" style="220" customWidth="1"/>
    <col min="2033" max="2033" width="20.7109375" style="220" bestFit="1" customWidth="1"/>
    <col min="2034" max="2034" width="12.140625" style="220" customWidth="1"/>
    <col min="2035" max="2263" width="8.7109375" style="220" customWidth="1"/>
    <col min="2264" max="2264" width="7.28515625" style="220" customWidth="1"/>
    <col min="2265" max="2265" width="18.28515625" style="220" customWidth="1"/>
    <col min="2266" max="2266" width="23.42578125" style="220" bestFit="1" customWidth="1"/>
    <col min="2267" max="2268" width="10.140625" style="220" bestFit="1" customWidth="1"/>
    <col min="2269" max="2271" width="10.140625" style="220" customWidth="1"/>
    <col min="2272" max="2272" width="16.28515625" style="220" customWidth="1"/>
    <col min="2273" max="2273" width="20.28515625" style="220" bestFit="1" customWidth="1"/>
    <col min="2274" max="2276" width="20.28515625" style="220" customWidth="1"/>
    <col min="2277" max="2277" width="20.28515625" style="220" bestFit="1" customWidth="1"/>
    <col min="2278" max="2278" width="15.42578125" style="220" customWidth="1"/>
    <col min="2279" max="2279" width="20.28515625" style="220" bestFit="1" customWidth="1"/>
    <col min="2280" max="2282" width="20.28515625" style="220" customWidth="1"/>
    <col min="2283" max="2283" width="20.28515625" style="220" bestFit="1" customWidth="1"/>
    <col min="2284" max="2284" width="15.42578125" style="220" customWidth="1"/>
    <col min="2285" max="2285" width="20.7109375" style="220" bestFit="1" customWidth="1"/>
    <col min="2286" max="2288" width="20.7109375" style="220" customWidth="1"/>
    <col min="2289" max="2289" width="20.7109375" style="220" bestFit="1" customWidth="1"/>
    <col min="2290" max="2290" width="12.140625" style="220" customWidth="1"/>
    <col min="2291" max="2519" width="8.7109375" style="220" customWidth="1"/>
    <col min="2520" max="2520" width="7.28515625" style="220" customWidth="1"/>
    <col min="2521" max="2521" width="18.28515625" style="220" customWidth="1"/>
    <col min="2522" max="2522" width="23.42578125" style="220" bestFit="1" customWidth="1"/>
    <col min="2523" max="2524" width="10.140625" style="220" bestFit="1" customWidth="1"/>
    <col min="2525" max="2527" width="10.140625" style="220" customWidth="1"/>
    <col min="2528" max="2528" width="16.28515625" style="220" customWidth="1"/>
    <col min="2529" max="2529" width="20.28515625" style="220" bestFit="1" customWidth="1"/>
    <col min="2530" max="2532" width="20.28515625" style="220" customWidth="1"/>
    <col min="2533" max="2533" width="20.28515625" style="220" bestFit="1" customWidth="1"/>
    <col min="2534" max="2534" width="15.42578125" style="220" customWidth="1"/>
    <col min="2535" max="2535" width="20.28515625" style="220" bestFit="1" customWidth="1"/>
    <col min="2536" max="2538" width="20.28515625" style="220" customWidth="1"/>
    <col min="2539" max="2539" width="20.28515625" style="220" bestFit="1" customWidth="1"/>
    <col min="2540" max="2540" width="15.42578125" style="220" customWidth="1"/>
    <col min="2541" max="2541" width="20.7109375" style="220" bestFit="1" customWidth="1"/>
    <col min="2542" max="2544" width="20.7109375" style="220" customWidth="1"/>
    <col min="2545" max="2545" width="20.7109375" style="220" bestFit="1" customWidth="1"/>
    <col min="2546" max="2546" width="12.140625" style="220" customWidth="1"/>
    <col min="2547" max="2775" width="8.7109375" style="220" customWidth="1"/>
    <col min="2776" max="2776" width="7.28515625" style="220" customWidth="1"/>
    <col min="2777" max="2777" width="18.28515625" style="220" customWidth="1"/>
    <col min="2778" max="2778" width="23.42578125" style="220" bestFit="1" customWidth="1"/>
    <col min="2779" max="2780" width="10.140625" style="220" bestFit="1" customWidth="1"/>
    <col min="2781" max="2783" width="10.140625" style="220" customWidth="1"/>
    <col min="2784" max="2784" width="16.28515625" style="220" customWidth="1"/>
    <col min="2785" max="2785" width="20.28515625" style="220" bestFit="1" customWidth="1"/>
    <col min="2786" max="2788" width="20.28515625" style="220" customWidth="1"/>
    <col min="2789" max="2789" width="20.28515625" style="220" bestFit="1" customWidth="1"/>
    <col min="2790" max="2790" width="15.42578125" style="220" customWidth="1"/>
    <col min="2791" max="2791" width="20.28515625" style="220" bestFit="1" customWidth="1"/>
    <col min="2792" max="2794" width="20.28515625" style="220" customWidth="1"/>
    <col min="2795" max="2795" width="20.28515625" style="220" bestFit="1" customWidth="1"/>
    <col min="2796" max="2796" width="15.42578125" style="220" customWidth="1"/>
    <col min="2797" max="2797" width="20.7109375" style="220" bestFit="1" customWidth="1"/>
    <col min="2798" max="2800" width="20.7109375" style="220" customWidth="1"/>
    <col min="2801" max="2801" width="20.7109375" style="220" bestFit="1" customWidth="1"/>
    <col min="2802" max="2802" width="12.140625" style="220" customWidth="1"/>
    <col min="2803" max="3031" width="8.7109375" style="220" customWidth="1"/>
    <col min="3032" max="3032" width="7.28515625" style="220" customWidth="1"/>
    <col min="3033" max="3033" width="18.28515625" style="220" customWidth="1"/>
    <col min="3034" max="3034" width="23.42578125" style="220" bestFit="1" customWidth="1"/>
    <col min="3035" max="3036" width="10.140625" style="220" bestFit="1" customWidth="1"/>
    <col min="3037" max="3039" width="10.140625" style="220" customWidth="1"/>
    <col min="3040" max="3040" width="16.28515625" style="220" customWidth="1"/>
    <col min="3041" max="3041" width="20.28515625" style="220" bestFit="1" customWidth="1"/>
    <col min="3042" max="3044" width="20.28515625" style="220" customWidth="1"/>
    <col min="3045" max="3045" width="20.28515625" style="220" bestFit="1" customWidth="1"/>
    <col min="3046" max="3046" width="15.42578125" style="220" customWidth="1"/>
    <col min="3047" max="3047" width="20.28515625" style="220" bestFit="1" customWidth="1"/>
    <col min="3048" max="3050" width="20.28515625" style="220" customWidth="1"/>
    <col min="3051" max="3051" width="20.28515625" style="220" bestFit="1" customWidth="1"/>
    <col min="3052" max="3052" width="15.42578125" style="220" customWidth="1"/>
    <col min="3053" max="3053" width="20.7109375" style="220" bestFit="1" customWidth="1"/>
    <col min="3054" max="3056" width="20.7109375" style="220" customWidth="1"/>
    <col min="3057" max="3057" width="20.7109375" style="220" bestFit="1" customWidth="1"/>
    <col min="3058" max="3058" width="12.140625" style="220" customWidth="1"/>
    <col min="3059" max="3287" width="8.7109375" style="220" customWidth="1"/>
    <col min="3288" max="3288" width="7.28515625" style="220" customWidth="1"/>
    <col min="3289" max="3289" width="18.28515625" style="220" customWidth="1"/>
    <col min="3290" max="3290" width="23.42578125" style="220" bestFit="1" customWidth="1"/>
    <col min="3291" max="3292" width="10.140625" style="220" bestFit="1" customWidth="1"/>
    <col min="3293" max="3295" width="10.140625" style="220" customWidth="1"/>
    <col min="3296" max="3296" width="16.28515625" style="220" customWidth="1"/>
    <col min="3297" max="3297" width="20.28515625" style="220" bestFit="1" customWidth="1"/>
    <col min="3298" max="3300" width="20.28515625" style="220" customWidth="1"/>
    <col min="3301" max="3301" width="20.28515625" style="220" bestFit="1" customWidth="1"/>
    <col min="3302" max="3302" width="15.42578125" style="220" customWidth="1"/>
    <col min="3303" max="3303" width="20.28515625" style="220" bestFit="1" customWidth="1"/>
    <col min="3304" max="3306" width="20.28515625" style="220" customWidth="1"/>
    <col min="3307" max="3307" width="20.28515625" style="220" bestFit="1" customWidth="1"/>
    <col min="3308" max="3308" width="15.42578125" style="220" customWidth="1"/>
    <col min="3309" max="3309" width="20.7109375" style="220" bestFit="1" customWidth="1"/>
    <col min="3310" max="3312" width="20.7109375" style="220" customWidth="1"/>
    <col min="3313" max="3313" width="20.7109375" style="220" bestFit="1" customWidth="1"/>
    <col min="3314" max="3314" width="12.140625" style="220" customWidth="1"/>
    <col min="3315" max="3543" width="8.7109375" style="220" customWidth="1"/>
    <col min="3544" max="3544" width="7.28515625" style="220" customWidth="1"/>
    <col min="3545" max="3545" width="18.28515625" style="220" customWidth="1"/>
    <col min="3546" max="3546" width="23.42578125" style="220" bestFit="1" customWidth="1"/>
    <col min="3547" max="3548" width="10.140625" style="220" bestFit="1" customWidth="1"/>
    <col min="3549" max="3551" width="10.140625" style="220" customWidth="1"/>
    <col min="3552" max="3552" width="16.28515625" style="220" customWidth="1"/>
    <col min="3553" max="3553" width="20.28515625" style="220" bestFit="1" customWidth="1"/>
    <col min="3554" max="3556" width="20.28515625" style="220" customWidth="1"/>
    <col min="3557" max="3557" width="20.28515625" style="220" bestFit="1" customWidth="1"/>
    <col min="3558" max="3558" width="15.42578125" style="220" customWidth="1"/>
    <col min="3559" max="3559" width="20.28515625" style="220" bestFit="1" customWidth="1"/>
    <col min="3560" max="3562" width="20.28515625" style="220" customWidth="1"/>
    <col min="3563" max="3563" width="20.28515625" style="220" bestFit="1" customWidth="1"/>
    <col min="3564" max="3564" width="15.42578125" style="220" customWidth="1"/>
    <col min="3565" max="3565" width="20.7109375" style="220" bestFit="1" customWidth="1"/>
    <col min="3566" max="3568" width="20.7109375" style="220" customWidth="1"/>
    <col min="3569" max="3569" width="20.7109375" style="220" bestFit="1" customWidth="1"/>
    <col min="3570" max="3570" width="12.140625" style="220" customWidth="1"/>
    <col min="3571" max="3799" width="8.7109375" style="220" customWidth="1"/>
    <col min="3800" max="3800" width="7.28515625" style="220" customWidth="1"/>
    <col min="3801" max="3801" width="18.28515625" style="220" customWidth="1"/>
    <col min="3802" max="3802" width="23.42578125" style="220" bestFit="1" customWidth="1"/>
    <col min="3803" max="3804" width="10.140625" style="220" bestFit="1" customWidth="1"/>
    <col min="3805" max="3807" width="10.140625" style="220" customWidth="1"/>
    <col min="3808" max="3808" width="16.28515625" style="220" customWidth="1"/>
    <col min="3809" max="3809" width="20.28515625" style="220" bestFit="1" customWidth="1"/>
    <col min="3810" max="3812" width="20.28515625" style="220" customWidth="1"/>
    <col min="3813" max="3813" width="20.28515625" style="220" bestFit="1" customWidth="1"/>
    <col min="3814" max="3814" width="15.42578125" style="220" customWidth="1"/>
    <col min="3815" max="3815" width="20.28515625" style="220" bestFit="1" customWidth="1"/>
    <col min="3816" max="3818" width="20.28515625" style="220" customWidth="1"/>
    <col min="3819" max="3819" width="20.28515625" style="220" bestFit="1" customWidth="1"/>
    <col min="3820" max="3820" width="15.42578125" style="220" customWidth="1"/>
    <col min="3821" max="3821" width="20.7109375" style="220" bestFit="1" customWidth="1"/>
    <col min="3822" max="3824" width="20.7109375" style="220" customWidth="1"/>
    <col min="3825" max="3825" width="20.7109375" style="220" bestFit="1" customWidth="1"/>
    <col min="3826" max="3826" width="12.140625" style="220" customWidth="1"/>
    <col min="3827" max="4055" width="8.7109375" style="220" customWidth="1"/>
    <col min="4056" max="4056" width="7.28515625" style="220" customWidth="1"/>
    <col min="4057" max="4057" width="18.28515625" style="220" customWidth="1"/>
    <col min="4058" max="4058" width="23.42578125" style="220" bestFit="1" customWidth="1"/>
    <col min="4059" max="4060" width="10.140625" style="220" bestFit="1" customWidth="1"/>
    <col min="4061" max="4063" width="10.140625" style="220" customWidth="1"/>
    <col min="4064" max="4064" width="16.28515625" style="220" customWidth="1"/>
    <col min="4065" max="4065" width="20.28515625" style="220" bestFit="1" customWidth="1"/>
    <col min="4066" max="4068" width="20.28515625" style="220" customWidth="1"/>
    <col min="4069" max="4069" width="20.28515625" style="220" bestFit="1" customWidth="1"/>
    <col min="4070" max="4070" width="15.42578125" style="220" customWidth="1"/>
    <col min="4071" max="4071" width="20.28515625" style="220" bestFit="1" customWidth="1"/>
    <col min="4072" max="4074" width="20.28515625" style="220" customWidth="1"/>
    <col min="4075" max="4075" width="20.28515625" style="220" bestFit="1" customWidth="1"/>
    <col min="4076" max="4076" width="15.42578125" style="220" customWidth="1"/>
    <col min="4077" max="4077" width="20.7109375" style="220" bestFit="1" customWidth="1"/>
    <col min="4078" max="4080" width="20.7109375" style="220" customWidth="1"/>
    <col min="4081" max="4081" width="20.7109375" style="220" bestFit="1" customWidth="1"/>
    <col min="4082" max="4082" width="12.140625" style="220" customWidth="1"/>
    <col min="4083" max="4311" width="8.7109375" style="220" customWidth="1"/>
    <col min="4312" max="4312" width="7.28515625" style="220" customWidth="1"/>
    <col min="4313" max="4313" width="18.28515625" style="220" customWidth="1"/>
    <col min="4314" max="4314" width="23.42578125" style="220" bestFit="1" customWidth="1"/>
    <col min="4315" max="4316" width="10.140625" style="220" bestFit="1" customWidth="1"/>
    <col min="4317" max="4319" width="10.140625" style="220" customWidth="1"/>
    <col min="4320" max="4320" width="16.28515625" style="220" customWidth="1"/>
    <col min="4321" max="4321" width="20.28515625" style="220" bestFit="1" customWidth="1"/>
    <col min="4322" max="4324" width="20.28515625" style="220" customWidth="1"/>
    <col min="4325" max="4325" width="20.28515625" style="220" bestFit="1" customWidth="1"/>
    <col min="4326" max="4326" width="15.42578125" style="220" customWidth="1"/>
    <col min="4327" max="4327" width="20.28515625" style="220" bestFit="1" customWidth="1"/>
    <col min="4328" max="4330" width="20.28515625" style="220" customWidth="1"/>
    <col min="4331" max="4331" width="20.28515625" style="220" bestFit="1" customWidth="1"/>
    <col min="4332" max="4332" width="15.42578125" style="220" customWidth="1"/>
    <col min="4333" max="4333" width="20.7109375" style="220" bestFit="1" customWidth="1"/>
    <col min="4334" max="4336" width="20.7109375" style="220" customWidth="1"/>
    <col min="4337" max="4337" width="20.7109375" style="220" bestFit="1" customWidth="1"/>
    <col min="4338" max="4338" width="12.140625" style="220" customWidth="1"/>
    <col min="4339" max="4567" width="8.7109375" style="220" customWidth="1"/>
    <col min="4568" max="4568" width="7.28515625" style="220" customWidth="1"/>
    <col min="4569" max="4569" width="18.28515625" style="220" customWidth="1"/>
    <col min="4570" max="4570" width="23.42578125" style="220" bestFit="1" customWidth="1"/>
    <col min="4571" max="4572" width="10.140625" style="220" bestFit="1" customWidth="1"/>
    <col min="4573" max="4575" width="10.140625" style="220" customWidth="1"/>
    <col min="4576" max="4576" width="16.28515625" style="220" customWidth="1"/>
    <col min="4577" max="4577" width="20.28515625" style="220" bestFit="1" customWidth="1"/>
    <col min="4578" max="4580" width="20.28515625" style="220" customWidth="1"/>
    <col min="4581" max="4581" width="20.28515625" style="220" bestFit="1" customWidth="1"/>
    <col min="4582" max="4582" width="15.42578125" style="220" customWidth="1"/>
    <col min="4583" max="4583" width="20.28515625" style="220" bestFit="1" customWidth="1"/>
    <col min="4584" max="4586" width="20.28515625" style="220" customWidth="1"/>
    <col min="4587" max="4587" width="20.28515625" style="220" bestFit="1" customWidth="1"/>
    <col min="4588" max="4588" width="15.42578125" style="220" customWidth="1"/>
    <col min="4589" max="4589" width="20.7109375" style="220" bestFit="1" customWidth="1"/>
    <col min="4590" max="4592" width="20.7109375" style="220" customWidth="1"/>
    <col min="4593" max="4593" width="20.7109375" style="220" bestFit="1" customWidth="1"/>
    <col min="4594" max="4594" width="12.140625" style="220" customWidth="1"/>
    <col min="4595" max="4823" width="8.7109375" style="220" customWidth="1"/>
    <col min="4824" max="4824" width="7.28515625" style="220" customWidth="1"/>
    <col min="4825" max="4825" width="18.28515625" style="220" customWidth="1"/>
    <col min="4826" max="4826" width="23.42578125" style="220" bestFit="1" customWidth="1"/>
    <col min="4827" max="4828" width="10.140625" style="220" bestFit="1" customWidth="1"/>
    <col min="4829" max="4831" width="10.140625" style="220" customWidth="1"/>
    <col min="4832" max="4832" width="16.28515625" style="220" customWidth="1"/>
    <col min="4833" max="4833" width="20.28515625" style="220" bestFit="1" customWidth="1"/>
    <col min="4834" max="4836" width="20.28515625" style="220" customWidth="1"/>
    <col min="4837" max="4837" width="20.28515625" style="220" bestFit="1" customWidth="1"/>
    <col min="4838" max="4838" width="15.42578125" style="220" customWidth="1"/>
    <col min="4839" max="4839" width="20.28515625" style="220" bestFit="1" customWidth="1"/>
    <col min="4840" max="4842" width="20.28515625" style="220" customWidth="1"/>
    <col min="4843" max="4843" width="20.28515625" style="220" bestFit="1" customWidth="1"/>
    <col min="4844" max="4844" width="15.42578125" style="220" customWidth="1"/>
    <col min="4845" max="4845" width="20.7109375" style="220" bestFit="1" customWidth="1"/>
    <col min="4846" max="4848" width="20.7109375" style="220" customWidth="1"/>
    <col min="4849" max="4849" width="20.7109375" style="220" bestFit="1" customWidth="1"/>
    <col min="4850" max="4850" width="12.140625" style="220" customWidth="1"/>
    <col min="4851" max="5079" width="8.7109375" style="220" customWidth="1"/>
    <col min="5080" max="5080" width="7.28515625" style="220" customWidth="1"/>
    <col min="5081" max="5081" width="18.28515625" style="220" customWidth="1"/>
    <col min="5082" max="5082" width="23.42578125" style="220" bestFit="1" customWidth="1"/>
    <col min="5083" max="5084" width="10.140625" style="220" bestFit="1" customWidth="1"/>
    <col min="5085" max="5087" width="10.140625" style="220" customWidth="1"/>
    <col min="5088" max="5088" width="16.28515625" style="220" customWidth="1"/>
    <col min="5089" max="5089" width="20.28515625" style="220" bestFit="1" customWidth="1"/>
    <col min="5090" max="5092" width="20.28515625" style="220" customWidth="1"/>
    <col min="5093" max="5093" width="20.28515625" style="220" bestFit="1" customWidth="1"/>
    <col min="5094" max="5094" width="15.42578125" style="220" customWidth="1"/>
    <col min="5095" max="5095" width="20.28515625" style="220" bestFit="1" customWidth="1"/>
    <col min="5096" max="5098" width="20.28515625" style="220" customWidth="1"/>
    <col min="5099" max="5099" width="20.28515625" style="220" bestFit="1" customWidth="1"/>
    <col min="5100" max="5100" width="15.42578125" style="220" customWidth="1"/>
    <col min="5101" max="5101" width="20.7109375" style="220" bestFit="1" customWidth="1"/>
    <col min="5102" max="5104" width="20.7109375" style="220" customWidth="1"/>
    <col min="5105" max="5105" width="20.7109375" style="220" bestFit="1" customWidth="1"/>
    <col min="5106" max="5106" width="12.140625" style="220" customWidth="1"/>
    <col min="5107" max="5335" width="8.7109375" style="220" customWidth="1"/>
    <col min="5336" max="5336" width="7.28515625" style="220" customWidth="1"/>
    <col min="5337" max="5337" width="18.28515625" style="220" customWidth="1"/>
    <col min="5338" max="5338" width="23.42578125" style="220" bestFit="1" customWidth="1"/>
    <col min="5339" max="5340" width="10.140625" style="220" bestFit="1" customWidth="1"/>
    <col min="5341" max="5343" width="10.140625" style="220" customWidth="1"/>
    <col min="5344" max="5344" width="16.28515625" style="220" customWidth="1"/>
    <col min="5345" max="5345" width="20.28515625" style="220" bestFit="1" customWidth="1"/>
    <col min="5346" max="5348" width="20.28515625" style="220" customWidth="1"/>
    <col min="5349" max="5349" width="20.28515625" style="220" bestFit="1" customWidth="1"/>
    <col min="5350" max="5350" width="15.42578125" style="220" customWidth="1"/>
    <col min="5351" max="5351" width="20.28515625" style="220" bestFit="1" customWidth="1"/>
    <col min="5352" max="5354" width="20.28515625" style="220" customWidth="1"/>
    <col min="5355" max="5355" width="20.28515625" style="220" bestFit="1" customWidth="1"/>
    <col min="5356" max="5356" width="15.42578125" style="220" customWidth="1"/>
    <col min="5357" max="5357" width="20.7109375" style="220" bestFit="1" customWidth="1"/>
    <col min="5358" max="5360" width="20.7109375" style="220" customWidth="1"/>
    <col min="5361" max="5361" width="20.7109375" style="220" bestFit="1" customWidth="1"/>
    <col min="5362" max="5362" width="12.140625" style="220" customWidth="1"/>
    <col min="5363" max="5591" width="8.7109375" style="220" customWidth="1"/>
    <col min="5592" max="5592" width="7.28515625" style="220" customWidth="1"/>
    <col min="5593" max="5593" width="18.28515625" style="220" customWidth="1"/>
    <col min="5594" max="5594" width="23.42578125" style="220" bestFit="1" customWidth="1"/>
    <col min="5595" max="5596" width="10.140625" style="220" bestFit="1" customWidth="1"/>
    <col min="5597" max="5599" width="10.140625" style="220" customWidth="1"/>
    <col min="5600" max="5600" width="16.28515625" style="220" customWidth="1"/>
    <col min="5601" max="5601" width="20.28515625" style="220" bestFit="1" customWidth="1"/>
    <col min="5602" max="5604" width="20.28515625" style="220" customWidth="1"/>
    <col min="5605" max="5605" width="20.28515625" style="220" bestFit="1" customWidth="1"/>
    <col min="5606" max="5606" width="15.42578125" style="220" customWidth="1"/>
    <col min="5607" max="5607" width="20.28515625" style="220" bestFit="1" customWidth="1"/>
    <col min="5608" max="5610" width="20.28515625" style="220" customWidth="1"/>
    <col min="5611" max="5611" width="20.28515625" style="220" bestFit="1" customWidth="1"/>
    <col min="5612" max="5612" width="15.42578125" style="220" customWidth="1"/>
    <col min="5613" max="5613" width="20.7109375" style="220" bestFit="1" customWidth="1"/>
    <col min="5614" max="5616" width="20.7109375" style="220" customWidth="1"/>
    <col min="5617" max="5617" width="20.7109375" style="220" bestFit="1" customWidth="1"/>
    <col min="5618" max="5618" width="12.140625" style="220" customWidth="1"/>
    <col min="5619" max="5847" width="8.7109375" style="220" customWidth="1"/>
    <col min="5848" max="5848" width="7.28515625" style="220" customWidth="1"/>
    <col min="5849" max="5849" width="18.28515625" style="220" customWidth="1"/>
    <col min="5850" max="5850" width="23.42578125" style="220" bestFit="1" customWidth="1"/>
    <col min="5851" max="5852" width="10.140625" style="220" bestFit="1" customWidth="1"/>
    <col min="5853" max="5855" width="10.140625" style="220" customWidth="1"/>
    <col min="5856" max="5856" width="16.28515625" style="220" customWidth="1"/>
    <col min="5857" max="5857" width="20.28515625" style="220" bestFit="1" customWidth="1"/>
    <col min="5858" max="5860" width="20.28515625" style="220" customWidth="1"/>
    <col min="5861" max="5861" width="20.28515625" style="220" bestFit="1" customWidth="1"/>
    <col min="5862" max="5862" width="15.42578125" style="220" customWidth="1"/>
    <col min="5863" max="5863" width="20.28515625" style="220" bestFit="1" customWidth="1"/>
    <col min="5864" max="5866" width="20.28515625" style="220" customWidth="1"/>
    <col min="5867" max="5867" width="20.28515625" style="220" bestFit="1" customWidth="1"/>
    <col min="5868" max="5868" width="15.42578125" style="220" customWidth="1"/>
    <col min="5869" max="5869" width="20.7109375" style="220" bestFit="1" customWidth="1"/>
    <col min="5870" max="5872" width="20.7109375" style="220" customWidth="1"/>
    <col min="5873" max="5873" width="20.7109375" style="220" bestFit="1" customWidth="1"/>
    <col min="5874" max="5874" width="12.140625" style="220" customWidth="1"/>
    <col min="5875" max="6103" width="8.7109375" style="220" customWidth="1"/>
    <col min="6104" max="6104" width="7.28515625" style="220" customWidth="1"/>
    <col min="6105" max="6105" width="18.28515625" style="220" customWidth="1"/>
    <col min="6106" max="6106" width="23.42578125" style="220" bestFit="1" customWidth="1"/>
    <col min="6107" max="6108" width="10.140625" style="220" bestFit="1" customWidth="1"/>
    <col min="6109" max="6111" width="10.140625" style="220" customWidth="1"/>
    <col min="6112" max="6112" width="16.28515625" style="220" customWidth="1"/>
    <col min="6113" max="6113" width="20.28515625" style="220" bestFit="1" customWidth="1"/>
    <col min="6114" max="6116" width="20.28515625" style="220" customWidth="1"/>
    <col min="6117" max="6117" width="20.28515625" style="220" bestFit="1" customWidth="1"/>
    <col min="6118" max="6118" width="15.42578125" style="220" customWidth="1"/>
    <col min="6119" max="6119" width="20.28515625" style="220" bestFit="1" customWidth="1"/>
    <col min="6120" max="6122" width="20.28515625" style="220" customWidth="1"/>
    <col min="6123" max="6123" width="20.28515625" style="220" bestFit="1" customWidth="1"/>
    <col min="6124" max="6124" width="15.42578125" style="220" customWidth="1"/>
    <col min="6125" max="6125" width="20.7109375" style="220" bestFit="1" customWidth="1"/>
    <col min="6126" max="6128" width="20.7109375" style="220" customWidth="1"/>
    <col min="6129" max="6129" width="20.7109375" style="220" bestFit="1" customWidth="1"/>
    <col min="6130" max="6130" width="12.140625" style="220" customWidth="1"/>
    <col min="6131" max="6359" width="8.7109375" style="220" customWidth="1"/>
    <col min="6360" max="6360" width="7.28515625" style="220" customWidth="1"/>
    <col min="6361" max="6361" width="18.28515625" style="220" customWidth="1"/>
    <col min="6362" max="6362" width="23.42578125" style="220" bestFit="1" customWidth="1"/>
    <col min="6363" max="6364" width="10.140625" style="220" bestFit="1" customWidth="1"/>
    <col min="6365" max="6367" width="10.140625" style="220" customWidth="1"/>
    <col min="6368" max="6368" width="16.28515625" style="220" customWidth="1"/>
    <col min="6369" max="6369" width="20.28515625" style="220" bestFit="1" customWidth="1"/>
    <col min="6370" max="6372" width="20.28515625" style="220" customWidth="1"/>
    <col min="6373" max="6373" width="20.28515625" style="220" bestFit="1" customWidth="1"/>
    <col min="6374" max="6374" width="15.42578125" style="220" customWidth="1"/>
    <col min="6375" max="6375" width="20.28515625" style="220" bestFit="1" customWidth="1"/>
    <col min="6376" max="6378" width="20.28515625" style="220" customWidth="1"/>
    <col min="6379" max="6379" width="20.28515625" style="220" bestFit="1" customWidth="1"/>
    <col min="6380" max="6380" width="15.42578125" style="220" customWidth="1"/>
    <col min="6381" max="6381" width="20.7109375" style="220" bestFit="1" customWidth="1"/>
    <col min="6382" max="6384" width="20.7109375" style="220" customWidth="1"/>
    <col min="6385" max="6385" width="20.7109375" style="220" bestFit="1" customWidth="1"/>
    <col min="6386" max="6386" width="12.140625" style="220" customWidth="1"/>
    <col min="6387" max="6615" width="8.7109375" style="220" customWidth="1"/>
    <col min="6616" max="6616" width="7.28515625" style="220" customWidth="1"/>
    <col min="6617" max="6617" width="18.28515625" style="220" customWidth="1"/>
    <col min="6618" max="6618" width="23.42578125" style="220" bestFit="1" customWidth="1"/>
    <col min="6619" max="6620" width="10.140625" style="220" bestFit="1" customWidth="1"/>
    <col min="6621" max="6623" width="10.140625" style="220" customWidth="1"/>
    <col min="6624" max="6624" width="16.28515625" style="220" customWidth="1"/>
    <col min="6625" max="6625" width="20.28515625" style="220" bestFit="1" customWidth="1"/>
    <col min="6626" max="6628" width="20.28515625" style="220" customWidth="1"/>
    <col min="6629" max="6629" width="20.28515625" style="220" bestFit="1" customWidth="1"/>
    <col min="6630" max="6630" width="15.42578125" style="220" customWidth="1"/>
    <col min="6631" max="6631" width="20.28515625" style="220" bestFit="1" customWidth="1"/>
    <col min="6632" max="6634" width="20.28515625" style="220" customWidth="1"/>
    <col min="6635" max="6635" width="20.28515625" style="220" bestFit="1" customWidth="1"/>
    <col min="6636" max="6636" width="15.42578125" style="220" customWidth="1"/>
    <col min="6637" max="6637" width="20.7109375" style="220" bestFit="1" customWidth="1"/>
    <col min="6638" max="6640" width="20.7109375" style="220" customWidth="1"/>
    <col min="6641" max="6641" width="20.7109375" style="220" bestFit="1" customWidth="1"/>
    <col min="6642" max="6642" width="12.140625" style="220" customWidth="1"/>
    <col min="6643" max="6871" width="8.7109375" style="220" customWidth="1"/>
    <col min="6872" max="6872" width="7.28515625" style="220" customWidth="1"/>
    <col min="6873" max="6873" width="18.28515625" style="220" customWidth="1"/>
    <col min="6874" max="6874" width="23.42578125" style="220" bestFit="1" customWidth="1"/>
    <col min="6875" max="6876" width="10.140625" style="220" bestFit="1" customWidth="1"/>
    <col min="6877" max="6879" width="10.140625" style="220" customWidth="1"/>
    <col min="6880" max="6880" width="16.28515625" style="220" customWidth="1"/>
    <col min="6881" max="6881" width="20.28515625" style="220" bestFit="1" customWidth="1"/>
    <col min="6882" max="6884" width="20.28515625" style="220" customWidth="1"/>
    <col min="6885" max="6885" width="20.28515625" style="220" bestFit="1" customWidth="1"/>
    <col min="6886" max="6886" width="15.42578125" style="220" customWidth="1"/>
    <col min="6887" max="6887" width="20.28515625" style="220" bestFit="1" customWidth="1"/>
    <col min="6888" max="6890" width="20.28515625" style="220" customWidth="1"/>
    <col min="6891" max="6891" width="20.28515625" style="220" bestFit="1" customWidth="1"/>
    <col min="6892" max="6892" width="15.42578125" style="220" customWidth="1"/>
    <col min="6893" max="6893" width="20.7109375" style="220" bestFit="1" customWidth="1"/>
    <col min="6894" max="6896" width="20.7109375" style="220" customWidth="1"/>
    <col min="6897" max="6897" width="20.7109375" style="220" bestFit="1" customWidth="1"/>
    <col min="6898" max="6898" width="12.140625" style="220" customWidth="1"/>
    <col min="6899" max="7127" width="8.7109375" style="220" customWidth="1"/>
    <col min="7128" max="7128" width="7.28515625" style="220" customWidth="1"/>
    <col min="7129" max="7129" width="18.28515625" style="220" customWidth="1"/>
    <col min="7130" max="7130" width="23.42578125" style="220" bestFit="1" customWidth="1"/>
    <col min="7131" max="7132" width="10.140625" style="220" bestFit="1" customWidth="1"/>
    <col min="7133" max="7135" width="10.140625" style="220" customWidth="1"/>
    <col min="7136" max="7136" width="16.28515625" style="220" customWidth="1"/>
    <col min="7137" max="7137" width="20.28515625" style="220" bestFit="1" customWidth="1"/>
    <col min="7138" max="7140" width="20.28515625" style="220" customWidth="1"/>
    <col min="7141" max="7141" width="20.28515625" style="220" bestFit="1" customWidth="1"/>
    <col min="7142" max="7142" width="15.42578125" style="220" customWidth="1"/>
    <col min="7143" max="7143" width="20.28515625" style="220" bestFit="1" customWidth="1"/>
    <col min="7144" max="7146" width="20.28515625" style="220" customWidth="1"/>
    <col min="7147" max="7147" width="20.28515625" style="220" bestFit="1" customWidth="1"/>
    <col min="7148" max="7148" width="15.42578125" style="220" customWidth="1"/>
    <col min="7149" max="7149" width="20.7109375" style="220" bestFit="1" customWidth="1"/>
    <col min="7150" max="7152" width="20.7109375" style="220" customWidth="1"/>
    <col min="7153" max="7153" width="20.7109375" style="220" bestFit="1" customWidth="1"/>
    <col min="7154" max="7154" width="12.140625" style="220" customWidth="1"/>
    <col min="7155" max="7383" width="8.7109375" style="220" customWidth="1"/>
    <col min="7384" max="7384" width="7.28515625" style="220" customWidth="1"/>
    <col min="7385" max="7385" width="18.28515625" style="220" customWidth="1"/>
    <col min="7386" max="7386" width="23.42578125" style="220" bestFit="1" customWidth="1"/>
    <col min="7387" max="7388" width="10.140625" style="220" bestFit="1" customWidth="1"/>
    <col min="7389" max="7391" width="10.140625" style="220" customWidth="1"/>
    <col min="7392" max="7392" width="16.28515625" style="220" customWidth="1"/>
    <col min="7393" max="7393" width="20.28515625" style="220" bestFit="1" customWidth="1"/>
    <col min="7394" max="7396" width="20.28515625" style="220" customWidth="1"/>
    <col min="7397" max="7397" width="20.28515625" style="220" bestFit="1" customWidth="1"/>
    <col min="7398" max="7398" width="15.42578125" style="220" customWidth="1"/>
    <col min="7399" max="7399" width="20.28515625" style="220" bestFit="1" customWidth="1"/>
    <col min="7400" max="7402" width="20.28515625" style="220" customWidth="1"/>
    <col min="7403" max="7403" width="20.28515625" style="220" bestFit="1" customWidth="1"/>
    <col min="7404" max="7404" width="15.42578125" style="220" customWidth="1"/>
    <col min="7405" max="7405" width="20.7109375" style="220" bestFit="1" customWidth="1"/>
    <col min="7406" max="7408" width="20.7109375" style="220" customWidth="1"/>
    <col min="7409" max="7409" width="20.7109375" style="220" bestFit="1" customWidth="1"/>
    <col min="7410" max="7410" width="12.140625" style="220" customWidth="1"/>
    <col min="7411" max="7639" width="8.7109375" style="220" customWidth="1"/>
    <col min="7640" max="7640" width="7.28515625" style="220" customWidth="1"/>
    <col min="7641" max="7641" width="18.28515625" style="220" customWidth="1"/>
    <col min="7642" max="7642" width="23.42578125" style="220" bestFit="1" customWidth="1"/>
    <col min="7643" max="7644" width="10.140625" style="220" bestFit="1" customWidth="1"/>
    <col min="7645" max="7647" width="10.140625" style="220" customWidth="1"/>
    <col min="7648" max="7648" width="16.28515625" style="220" customWidth="1"/>
    <col min="7649" max="7649" width="20.28515625" style="220" bestFit="1" customWidth="1"/>
    <col min="7650" max="7652" width="20.28515625" style="220" customWidth="1"/>
    <col min="7653" max="7653" width="20.28515625" style="220" bestFit="1" customWidth="1"/>
    <col min="7654" max="7654" width="15.42578125" style="220" customWidth="1"/>
    <col min="7655" max="7655" width="20.28515625" style="220" bestFit="1" customWidth="1"/>
    <col min="7656" max="7658" width="20.28515625" style="220" customWidth="1"/>
    <col min="7659" max="7659" width="20.28515625" style="220" bestFit="1" customWidth="1"/>
    <col min="7660" max="7660" width="15.42578125" style="220" customWidth="1"/>
    <col min="7661" max="7661" width="20.7109375" style="220" bestFit="1" customWidth="1"/>
    <col min="7662" max="7664" width="20.7109375" style="220" customWidth="1"/>
    <col min="7665" max="7665" width="20.7109375" style="220" bestFit="1" customWidth="1"/>
    <col min="7666" max="7666" width="12.140625" style="220" customWidth="1"/>
    <col min="7667" max="7895" width="8.7109375" style="220" customWidth="1"/>
    <col min="7896" max="7896" width="7.28515625" style="220" customWidth="1"/>
    <col min="7897" max="7897" width="18.28515625" style="220" customWidth="1"/>
    <col min="7898" max="7898" width="23.42578125" style="220" bestFit="1" customWidth="1"/>
    <col min="7899" max="7900" width="10.140625" style="220" bestFit="1" customWidth="1"/>
    <col min="7901" max="7903" width="10.140625" style="220" customWidth="1"/>
    <col min="7904" max="7904" width="16.28515625" style="220" customWidth="1"/>
    <col min="7905" max="7905" width="20.28515625" style="220" bestFit="1" customWidth="1"/>
    <col min="7906" max="7908" width="20.28515625" style="220" customWidth="1"/>
    <col min="7909" max="7909" width="20.28515625" style="220" bestFit="1" customWidth="1"/>
    <col min="7910" max="7910" width="15.42578125" style="220" customWidth="1"/>
    <col min="7911" max="7911" width="20.28515625" style="220" bestFit="1" customWidth="1"/>
    <col min="7912" max="7914" width="20.28515625" style="220" customWidth="1"/>
    <col min="7915" max="7915" width="20.28515625" style="220" bestFit="1" customWidth="1"/>
    <col min="7916" max="7916" width="15.42578125" style="220" customWidth="1"/>
    <col min="7917" max="7917" width="20.7109375" style="220" bestFit="1" customWidth="1"/>
    <col min="7918" max="7920" width="20.7109375" style="220" customWidth="1"/>
    <col min="7921" max="7921" width="20.7109375" style="220" bestFit="1" customWidth="1"/>
    <col min="7922" max="7922" width="12.140625" style="220" customWidth="1"/>
    <col min="7923" max="8151" width="8.7109375" style="220" customWidth="1"/>
    <col min="8152" max="8152" width="7.28515625" style="220" customWidth="1"/>
    <col min="8153" max="8153" width="18.28515625" style="220" customWidth="1"/>
    <col min="8154" max="8154" width="23.42578125" style="220" bestFit="1" customWidth="1"/>
    <col min="8155" max="8156" width="10.140625" style="220" bestFit="1" customWidth="1"/>
    <col min="8157" max="8159" width="10.140625" style="220" customWidth="1"/>
    <col min="8160" max="8160" width="16.28515625" style="220" customWidth="1"/>
    <col min="8161" max="8161" width="20.28515625" style="220" bestFit="1" customWidth="1"/>
    <col min="8162" max="8164" width="20.28515625" style="220" customWidth="1"/>
    <col min="8165" max="8165" width="20.28515625" style="220" bestFit="1" customWidth="1"/>
    <col min="8166" max="8166" width="15.42578125" style="220" customWidth="1"/>
    <col min="8167" max="8167" width="20.28515625" style="220" bestFit="1" customWidth="1"/>
    <col min="8168" max="8170" width="20.28515625" style="220" customWidth="1"/>
    <col min="8171" max="8171" width="20.28515625" style="220" bestFit="1" customWidth="1"/>
    <col min="8172" max="8172" width="15.42578125" style="220" customWidth="1"/>
    <col min="8173" max="8173" width="20.7109375" style="220" bestFit="1" customWidth="1"/>
    <col min="8174" max="8176" width="20.7109375" style="220" customWidth="1"/>
    <col min="8177" max="8177" width="20.7109375" style="220" bestFit="1" customWidth="1"/>
    <col min="8178" max="8178" width="12.140625" style="220" customWidth="1"/>
    <col min="8179" max="8407" width="8.7109375" style="220" customWidth="1"/>
    <col min="8408" max="8408" width="7.28515625" style="220" customWidth="1"/>
    <col min="8409" max="8409" width="18.28515625" style="220" customWidth="1"/>
    <col min="8410" max="8410" width="23.42578125" style="220" bestFit="1" customWidth="1"/>
    <col min="8411" max="8412" width="10.140625" style="220" bestFit="1" customWidth="1"/>
    <col min="8413" max="8415" width="10.140625" style="220" customWidth="1"/>
    <col min="8416" max="8416" width="16.28515625" style="220" customWidth="1"/>
    <col min="8417" max="8417" width="20.28515625" style="220" bestFit="1" customWidth="1"/>
    <col min="8418" max="8420" width="20.28515625" style="220" customWidth="1"/>
    <col min="8421" max="8421" width="20.28515625" style="220" bestFit="1" customWidth="1"/>
    <col min="8422" max="8422" width="15.42578125" style="220" customWidth="1"/>
    <col min="8423" max="8423" width="20.28515625" style="220" bestFit="1" customWidth="1"/>
    <col min="8424" max="8426" width="20.28515625" style="220" customWidth="1"/>
    <col min="8427" max="8427" width="20.28515625" style="220" bestFit="1" customWidth="1"/>
    <col min="8428" max="8428" width="15.42578125" style="220" customWidth="1"/>
    <col min="8429" max="8429" width="20.7109375" style="220" bestFit="1" customWidth="1"/>
    <col min="8430" max="8432" width="20.7109375" style="220" customWidth="1"/>
    <col min="8433" max="8433" width="20.7109375" style="220" bestFit="1" customWidth="1"/>
    <col min="8434" max="8434" width="12.140625" style="220" customWidth="1"/>
    <col min="8435" max="8663" width="8.7109375" style="220" customWidth="1"/>
    <col min="8664" max="8664" width="7.28515625" style="220" customWidth="1"/>
    <col min="8665" max="8665" width="18.28515625" style="220" customWidth="1"/>
    <col min="8666" max="8666" width="23.42578125" style="220" bestFit="1" customWidth="1"/>
    <col min="8667" max="8668" width="10.140625" style="220" bestFit="1" customWidth="1"/>
    <col min="8669" max="8671" width="10.140625" style="220" customWidth="1"/>
    <col min="8672" max="8672" width="16.28515625" style="220" customWidth="1"/>
    <col min="8673" max="8673" width="20.28515625" style="220" bestFit="1" customWidth="1"/>
    <col min="8674" max="8676" width="20.28515625" style="220" customWidth="1"/>
    <col min="8677" max="8677" width="20.28515625" style="220" bestFit="1" customWidth="1"/>
    <col min="8678" max="8678" width="15.42578125" style="220" customWidth="1"/>
    <col min="8679" max="8679" width="20.28515625" style="220" bestFit="1" customWidth="1"/>
    <col min="8680" max="8682" width="20.28515625" style="220" customWidth="1"/>
    <col min="8683" max="8683" width="20.28515625" style="220" bestFit="1" customWidth="1"/>
    <col min="8684" max="8684" width="15.42578125" style="220" customWidth="1"/>
    <col min="8685" max="8685" width="20.7109375" style="220" bestFit="1" customWidth="1"/>
    <col min="8686" max="8688" width="20.7109375" style="220" customWidth="1"/>
    <col min="8689" max="8689" width="20.7109375" style="220" bestFit="1" customWidth="1"/>
    <col min="8690" max="8690" width="12.140625" style="220" customWidth="1"/>
    <col min="8691" max="8919" width="8.7109375" style="220" customWidth="1"/>
    <col min="8920" max="8920" width="7.28515625" style="220" customWidth="1"/>
    <col min="8921" max="8921" width="18.28515625" style="220" customWidth="1"/>
    <col min="8922" max="8922" width="23.42578125" style="220" bestFit="1" customWidth="1"/>
    <col min="8923" max="8924" width="10.140625" style="220" bestFit="1" customWidth="1"/>
    <col min="8925" max="8927" width="10.140625" style="220" customWidth="1"/>
    <col min="8928" max="8928" width="16.28515625" style="220" customWidth="1"/>
    <col min="8929" max="8929" width="20.28515625" style="220" bestFit="1" customWidth="1"/>
    <col min="8930" max="8932" width="20.28515625" style="220" customWidth="1"/>
    <col min="8933" max="8933" width="20.28515625" style="220" bestFit="1" customWidth="1"/>
    <col min="8934" max="8934" width="15.42578125" style="220" customWidth="1"/>
    <col min="8935" max="8935" width="20.28515625" style="220" bestFit="1" customWidth="1"/>
    <col min="8936" max="8938" width="20.28515625" style="220" customWidth="1"/>
    <col min="8939" max="8939" width="20.28515625" style="220" bestFit="1" customWidth="1"/>
    <col min="8940" max="8940" width="15.42578125" style="220" customWidth="1"/>
    <col min="8941" max="8941" width="20.7109375" style="220" bestFit="1" customWidth="1"/>
    <col min="8942" max="8944" width="20.7109375" style="220" customWidth="1"/>
    <col min="8945" max="8945" width="20.7109375" style="220" bestFit="1" customWidth="1"/>
    <col min="8946" max="8946" width="12.140625" style="220" customWidth="1"/>
    <col min="8947" max="9175" width="8.7109375" style="220" customWidth="1"/>
    <col min="9176" max="9176" width="7.28515625" style="220" customWidth="1"/>
    <col min="9177" max="9177" width="18.28515625" style="220" customWidth="1"/>
    <col min="9178" max="9178" width="23.42578125" style="220" bestFit="1" customWidth="1"/>
    <col min="9179" max="9180" width="10.140625" style="220" bestFit="1" customWidth="1"/>
    <col min="9181" max="9183" width="10.140625" style="220" customWidth="1"/>
    <col min="9184" max="9184" width="16.28515625" style="220" customWidth="1"/>
    <col min="9185" max="9185" width="20.28515625" style="220" bestFit="1" customWidth="1"/>
    <col min="9186" max="9188" width="20.28515625" style="220" customWidth="1"/>
    <col min="9189" max="9189" width="20.28515625" style="220" bestFit="1" customWidth="1"/>
    <col min="9190" max="9190" width="15.42578125" style="220" customWidth="1"/>
    <col min="9191" max="9191" width="20.28515625" style="220" bestFit="1" customWidth="1"/>
    <col min="9192" max="9194" width="20.28515625" style="220" customWidth="1"/>
    <col min="9195" max="9195" width="20.28515625" style="220" bestFit="1" customWidth="1"/>
    <col min="9196" max="9196" width="15.42578125" style="220" customWidth="1"/>
    <col min="9197" max="9197" width="20.7109375" style="220" bestFit="1" customWidth="1"/>
    <col min="9198" max="9200" width="20.7109375" style="220" customWidth="1"/>
    <col min="9201" max="9201" width="20.7109375" style="220" bestFit="1" customWidth="1"/>
    <col min="9202" max="9202" width="12.140625" style="220" customWidth="1"/>
    <col min="9203" max="9431" width="8.7109375" style="220" customWidth="1"/>
    <col min="9432" max="9432" width="7.28515625" style="220" customWidth="1"/>
    <col min="9433" max="9433" width="18.28515625" style="220" customWidth="1"/>
    <col min="9434" max="9434" width="23.42578125" style="220" bestFit="1" customWidth="1"/>
    <col min="9435" max="9436" width="10.140625" style="220" bestFit="1" customWidth="1"/>
    <col min="9437" max="9439" width="10.140625" style="220" customWidth="1"/>
    <col min="9440" max="9440" width="16.28515625" style="220" customWidth="1"/>
    <col min="9441" max="9441" width="20.28515625" style="220" bestFit="1" customWidth="1"/>
    <col min="9442" max="9444" width="20.28515625" style="220" customWidth="1"/>
    <col min="9445" max="9445" width="20.28515625" style="220" bestFit="1" customWidth="1"/>
    <col min="9446" max="9446" width="15.42578125" style="220" customWidth="1"/>
    <col min="9447" max="9447" width="20.28515625" style="220" bestFit="1" customWidth="1"/>
    <col min="9448" max="9450" width="20.28515625" style="220" customWidth="1"/>
    <col min="9451" max="9451" width="20.28515625" style="220" bestFit="1" customWidth="1"/>
    <col min="9452" max="9452" width="15.42578125" style="220" customWidth="1"/>
    <col min="9453" max="9453" width="20.7109375" style="220" bestFit="1" customWidth="1"/>
    <col min="9454" max="9456" width="20.7109375" style="220" customWidth="1"/>
    <col min="9457" max="9457" width="20.7109375" style="220" bestFit="1" customWidth="1"/>
    <col min="9458" max="9458" width="12.140625" style="220" customWidth="1"/>
    <col min="9459" max="9687" width="8.7109375" style="220" customWidth="1"/>
    <col min="9688" max="9688" width="7.28515625" style="220" customWidth="1"/>
    <col min="9689" max="9689" width="18.28515625" style="220" customWidth="1"/>
    <col min="9690" max="9690" width="23.42578125" style="220" bestFit="1" customWidth="1"/>
    <col min="9691" max="9692" width="10.140625" style="220" bestFit="1" customWidth="1"/>
    <col min="9693" max="9695" width="10.140625" style="220" customWidth="1"/>
    <col min="9696" max="9696" width="16.28515625" style="220" customWidth="1"/>
    <col min="9697" max="9697" width="20.28515625" style="220" bestFit="1" customWidth="1"/>
    <col min="9698" max="9700" width="20.28515625" style="220" customWidth="1"/>
    <col min="9701" max="9701" width="20.28515625" style="220" bestFit="1" customWidth="1"/>
    <col min="9702" max="9702" width="15.42578125" style="220" customWidth="1"/>
    <col min="9703" max="9703" width="20.28515625" style="220" bestFit="1" customWidth="1"/>
    <col min="9704" max="9706" width="20.28515625" style="220" customWidth="1"/>
    <col min="9707" max="9707" width="20.28515625" style="220" bestFit="1" customWidth="1"/>
    <col min="9708" max="9708" width="15.42578125" style="220" customWidth="1"/>
    <col min="9709" max="9709" width="20.7109375" style="220" bestFit="1" customWidth="1"/>
    <col min="9710" max="9712" width="20.7109375" style="220" customWidth="1"/>
    <col min="9713" max="9713" width="20.7109375" style="220" bestFit="1" customWidth="1"/>
    <col min="9714" max="9714" width="12.140625" style="220" customWidth="1"/>
    <col min="9715" max="9943" width="8.7109375" style="220" customWidth="1"/>
    <col min="9944" max="9944" width="7.28515625" style="220" customWidth="1"/>
    <col min="9945" max="9945" width="18.28515625" style="220" customWidth="1"/>
    <col min="9946" max="9946" width="23.42578125" style="220" bestFit="1" customWidth="1"/>
    <col min="9947" max="9948" width="10.140625" style="220" bestFit="1" customWidth="1"/>
    <col min="9949" max="9951" width="10.140625" style="220" customWidth="1"/>
    <col min="9952" max="9952" width="16.28515625" style="220" customWidth="1"/>
    <col min="9953" max="9953" width="20.28515625" style="220" bestFit="1" customWidth="1"/>
    <col min="9954" max="9956" width="20.28515625" style="220" customWidth="1"/>
    <col min="9957" max="9957" width="20.28515625" style="220" bestFit="1" customWidth="1"/>
    <col min="9958" max="9958" width="15.42578125" style="220" customWidth="1"/>
    <col min="9959" max="9959" width="20.28515625" style="220" bestFit="1" customWidth="1"/>
    <col min="9960" max="9962" width="20.28515625" style="220" customWidth="1"/>
    <col min="9963" max="9963" width="20.28515625" style="220" bestFit="1" customWidth="1"/>
    <col min="9964" max="9964" width="15.42578125" style="220" customWidth="1"/>
    <col min="9965" max="9965" width="20.7109375" style="220" bestFit="1" customWidth="1"/>
    <col min="9966" max="9968" width="20.7109375" style="220" customWidth="1"/>
    <col min="9969" max="9969" width="20.7109375" style="220" bestFit="1" customWidth="1"/>
    <col min="9970" max="9970" width="12.140625" style="220" customWidth="1"/>
    <col min="9971" max="10199" width="8.7109375" style="220" customWidth="1"/>
    <col min="10200" max="10200" width="7.28515625" style="220" customWidth="1"/>
    <col min="10201" max="10201" width="18.28515625" style="220" customWidth="1"/>
    <col min="10202" max="10202" width="23.42578125" style="220" bestFit="1" customWidth="1"/>
    <col min="10203" max="10204" width="10.140625" style="220" bestFit="1" customWidth="1"/>
    <col min="10205" max="10207" width="10.140625" style="220" customWidth="1"/>
    <col min="10208" max="10208" width="16.28515625" style="220" customWidth="1"/>
    <col min="10209" max="10209" width="20.28515625" style="220" bestFit="1" customWidth="1"/>
    <col min="10210" max="10212" width="20.28515625" style="220" customWidth="1"/>
    <col min="10213" max="10213" width="20.28515625" style="220" bestFit="1" customWidth="1"/>
    <col min="10214" max="10214" width="15.42578125" style="220" customWidth="1"/>
    <col min="10215" max="10215" width="20.28515625" style="220" bestFit="1" customWidth="1"/>
    <col min="10216" max="10218" width="20.28515625" style="220" customWidth="1"/>
    <col min="10219" max="10219" width="20.28515625" style="220" bestFit="1" customWidth="1"/>
    <col min="10220" max="10220" width="15.42578125" style="220" customWidth="1"/>
    <col min="10221" max="10221" width="20.7109375" style="220" bestFit="1" customWidth="1"/>
    <col min="10222" max="10224" width="20.7109375" style="220" customWidth="1"/>
    <col min="10225" max="10225" width="20.7109375" style="220" bestFit="1" customWidth="1"/>
    <col min="10226" max="10226" width="12.140625" style="220" customWidth="1"/>
    <col min="10227" max="10455" width="8.7109375" style="220" customWidth="1"/>
    <col min="10456" max="10456" width="7.28515625" style="220" customWidth="1"/>
    <col min="10457" max="10457" width="18.28515625" style="220" customWidth="1"/>
    <col min="10458" max="10458" width="23.42578125" style="220" bestFit="1" customWidth="1"/>
    <col min="10459" max="10460" width="10.140625" style="220" bestFit="1" customWidth="1"/>
    <col min="10461" max="10463" width="10.140625" style="220" customWidth="1"/>
    <col min="10464" max="10464" width="16.28515625" style="220" customWidth="1"/>
    <col min="10465" max="10465" width="20.28515625" style="220" bestFit="1" customWidth="1"/>
    <col min="10466" max="10468" width="20.28515625" style="220" customWidth="1"/>
    <col min="10469" max="10469" width="20.28515625" style="220" bestFit="1" customWidth="1"/>
    <col min="10470" max="10470" width="15.42578125" style="220" customWidth="1"/>
    <col min="10471" max="10471" width="20.28515625" style="220" bestFit="1" customWidth="1"/>
    <col min="10472" max="10474" width="20.28515625" style="220" customWidth="1"/>
    <col min="10475" max="10475" width="20.28515625" style="220" bestFit="1" customWidth="1"/>
    <col min="10476" max="10476" width="15.42578125" style="220" customWidth="1"/>
    <col min="10477" max="10477" width="20.7109375" style="220" bestFit="1" customWidth="1"/>
    <col min="10478" max="10480" width="20.7109375" style="220" customWidth="1"/>
    <col min="10481" max="10481" width="20.7109375" style="220" bestFit="1" customWidth="1"/>
    <col min="10482" max="10482" width="12.140625" style="220" customWidth="1"/>
    <col min="10483" max="10711" width="8.7109375" style="220" customWidth="1"/>
    <col min="10712" max="10712" width="7.28515625" style="220" customWidth="1"/>
    <col min="10713" max="10713" width="18.28515625" style="220" customWidth="1"/>
    <col min="10714" max="10714" width="23.42578125" style="220" bestFit="1" customWidth="1"/>
    <col min="10715" max="10716" width="10.140625" style="220" bestFit="1" customWidth="1"/>
    <col min="10717" max="10719" width="10.140625" style="220" customWidth="1"/>
    <col min="10720" max="10720" width="16.28515625" style="220" customWidth="1"/>
    <col min="10721" max="10721" width="20.28515625" style="220" bestFit="1" customWidth="1"/>
    <col min="10722" max="10724" width="20.28515625" style="220" customWidth="1"/>
    <col min="10725" max="10725" width="20.28515625" style="220" bestFit="1" customWidth="1"/>
    <col min="10726" max="10726" width="15.42578125" style="220" customWidth="1"/>
    <col min="10727" max="10727" width="20.28515625" style="220" bestFit="1" customWidth="1"/>
    <col min="10728" max="10730" width="20.28515625" style="220" customWidth="1"/>
    <col min="10731" max="10731" width="20.28515625" style="220" bestFit="1" customWidth="1"/>
    <col min="10732" max="10732" width="15.42578125" style="220" customWidth="1"/>
    <col min="10733" max="10733" width="20.7109375" style="220" bestFit="1" customWidth="1"/>
    <col min="10734" max="10736" width="20.7109375" style="220" customWidth="1"/>
    <col min="10737" max="10737" width="20.7109375" style="220" bestFit="1" customWidth="1"/>
    <col min="10738" max="10738" width="12.140625" style="220" customWidth="1"/>
    <col min="10739" max="10967" width="8.7109375" style="220" customWidth="1"/>
    <col min="10968" max="10968" width="7.28515625" style="220" customWidth="1"/>
    <col min="10969" max="10969" width="18.28515625" style="220" customWidth="1"/>
    <col min="10970" max="10970" width="23.42578125" style="220" bestFit="1" customWidth="1"/>
    <col min="10971" max="10972" width="10.140625" style="220" bestFit="1" customWidth="1"/>
    <col min="10973" max="10975" width="10.140625" style="220" customWidth="1"/>
    <col min="10976" max="10976" width="16.28515625" style="220" customWidth="1"/>
    <col min="10977" max="10977" width="20.28515625" style="220" bestFit="1" customWidth="1"/>
    <col min="10978" max="10980" width="20.28515625" style="220" customWidth="1"/>
    <col min="10981" max="10981" width="20.28515625" style="220" bestFit="1" customWidth="1"/>
    <col min="10982" max="10982" width="15.42578125" style="220" customWidth="1"/>
    <col min="10983" max="10983" width="20.28515625" style="220" bestFit="1" customWidth="1"/>
    <col min="10984" max="10986" width="20.28515625" style="220" customWidth="1"/>
    <col min="10987" max="10987" width="20.28515625" style="220" bestFit="1" customWidth="1"/>
    <col min="10988" max="10988" width="15.42578125" style="220" customWidth="1"/>
    <col min="10989" max="10989" width="20.7109375" style="220" bestFit="1" customWidth="1"/>
    <col min="10990" max="10992" width="20.7109375" style="220" customWidth="1"/>
    <col min="10993" max="10993" width="20.7109375" style="220" bestFit="1" customWidth="1"/>
    <col min="10994" max="10994" width="12.140625" style="220" customWidth="1"/>
    <col min="10995" max="11223" width="8.7109375" style="220" customWidth="1"/>
    <col min="11224" max="11224" width="7.28515625" style="220" customWidth="1"/>
    <col min="11225" max="11225" width="18.28515625" style="220" customWidth="1"/>
    <col min="11226" max="11226" width="23.42578125" style="220" bestFit="1" customWidth="1"/>
    <col min="11227" max="11228" width="10.140625" style="220" bestFit="1" customWidth="1"/>
    <col min="11229" max="11231" width="10.140625" style="220" customWidth="1"/>
    <col min="11232" max="11232" width="16.28515625" style="220" customWidth="1"/>
    <col min="11233" max="11233" width="20.28515625" style="220" bestFit="1" customWidth="1"/>
    <col min="11234" max="11236" width="20.28515625" style="220" customWidth="1"/>
    <col min="11237" max="11237" width="20.28515625" style="220" bestFit="1" customWidth="1"/>
    <col min="11238" max="11238" width="15.42578125" style="220" customWidth="1"/>
    <col min="11239" max="11239" width="20.28515625" style="220" bestFit="1" customWidth="1"/>
    <col min="11240" max="11242" width="20.28515625" style="220" customWidth="1"/>
    <col min="11243" max="11243" width="20.28515625" style="220" bestFit="1" customWidth="1"/>
    <col min="11244" max="11244" width="15.42578125" style="220" customWidth="1"/>
    <col min="11245" max="11245" width="20.7109375" style="220" bestFit="1" customWidth="1"/>
    <col min="11246" max="11248" width="20.7109375" style="220" customWidth="1"/>
    <col min="11249" max="11249" width="20.7109375" style="220" bestFit="1" customWidth="1"/>
    <col min="11250" max="11250" width="12.140625" style="220" customWidth="1"/>
    <col min="11251" max="11479" width="8.7109375" style="220" customWidth="1"/>
    <col min="11480" max="11480" width="7.28515625" style="220" customWidth="1"/>
    <col min="11481" max="11481" width="18.28515625" style="220" customWidth="1"/>
    <col min="11482" max="11482" width="23.42578125" style="220" bestFit="1" customWidth="1"/>
    <col min="11483" max="11484" width="10.140625" style="220" bestFit="1" customWidth="1"/>
    <col min="11485" max="11487" width="10.140625" style="220" customWidth="1"/>
    <col min="11488" max="11488" width="16.28515625" style="220" customWidth="1"/>
    <col min="11489" max="11489" width="20.28515625" style="220" bestFit="1" customWidth="1"/>
    <col min="11490" max="11492" width="20.28515625" style="220" customWidth="1"/>
    <col min="11493" max="11493" width="20.28515625" style="220" bestFit="1" customWidth="1"/>
    <col min="11494" max="11494" width="15.42578125" style="220" customWidth="1"/>
    <col min="11495" max="11495" width="20.28515625" style="220" bestFit="1" customWidth="1"/>
    <col min="11496" max="11498" width="20.28515625" style="220" customWidth="1"/>
    <col min="11499" max="11499" width="20.28515625" style="220" bestFit="1" customWidth="1"/>
    <col min="11500" max="11500" width="15.42578125" style="220" customWidth="1"/>
    <col min="11501" max="11501" width="20.7109375" style="220" bestFit="1" customWidth="1"/>
    <col min="11502" max="11504" width="20.7109375" style="220" customWidth="1"/>
    <col min="11505" max="11505" width="20.7109375" style="220" bestFit="1" customWidth="1"/>
    <col min="11506" max="11506" width="12.140625" style="220" customWidth="1"/>
    <col min="11507" max="11735" width="8.7109375" style="220" customWidth="1"/>
    <col min="11736" max="11736" width="7.28515625" style="220" customWidth="1"/>
    <col min="11737" max="11737" width="18.28515625" style="220" customWidth="1"/>
    <col min="11738" max="11738" width="23.42578125" style="220" bestFit="1" customWidth="1"/>
    <col min="11739" max="11740" width="10.140625" style="220" bestFit="1" customWidth="1"/>
    <col min="11741" max="11743" width="10.140625" style="220" customWidth="1"/>
    <col min="11744" max="11744" width="16.28515625" style="220" customWidth="1"/>
    <col min="11745" max="11745" width="20.28515625" style="220" bestFit="1" customWidth="1"/>
    <col min="11746" max="11748" width="20.28515625" style="220" customWidth="1"/>
    <col min="11749" max="11749" width="20.28515625" style="220" bestFit="1" customWidth="1"/>
    <col min="11750" max="11750" width="15.42578125" style="220" customWidth="1"/>
    <col min="11751" max="11751" width="20.28515625" style="220" bestFit="1" customWidth="1"/>
    <col min="11752" max="11754" width="20.28515625" style="220" customWidth="1"/>
    <col min="11755" max="11755" width="20.28515625" style="220" bestFit="1" customWidth="1"/>
    <col min="11756" max="11756" width="15.42578125" style="220" customWidth="1"/>
    <col min="11757" max="11757" width="20.7109375" style="220" bestFit="1" customWidth="1"/>
    <col min="11758" max="11760" width="20.7109375" style="220" customWidth="1"/>
    <col min="11761" max="11761" width="20.7109375" style="220" bestFit="1" customWidth="1"/>
    <col min="11762" max="11762" width="12.140625" style="220" customWidth="1"/>
    <col min="11763" max="11991" width="8.7109375" style="220" customWidth="1"/>
    <col min="11992" max="11992" width="7.28515625" style="220" customWidth="1"/>
    <col min="11993" max="11993" width="18.28515625" style="220" customWidth="1"/>
    <col min="11994" max="11994" width="23.42578125" style="220" bestFit="1" customWidth="1"/>
    <col min="11995" max="11996" width="10.140625" style="220" bestFit="1" customWidth="1"/>
    <col min="11997" max="11999" width="10.140625" style="220" customWidth="1"/>
    <col min="12000" max="12000" width="16.28515625" style="220" customWidth="1"/>
    <col min="12001" max="12001" width="20.28515625" style="220" bestFit="1" customWidth="1"/>
    <col min="12002" max="12004" width="20.28515625" style="220" customWidth="1"/>
    <col min="12005" max="12005" width="20.28515625" style="220" bestFit="1" customWidth="1"/>
    <col min="12006" max="12006" width="15.42578125" style="220" customWidth="1"/>
    <col min="12007" max="12007" width="20.28515625" style="220" bestFit="1" customWidth="1"/>
    <col min="12008" max="12010" width="20.28515625" style="220" customWidth="1"/>
    <col min="12011" max="12011" width="20.28515625" style="220" bestFit="1" customWidth="1"/>
    <col min="12012" max="12012" width="15.42578125" style="220" customWidth="1"/>
    <col min="12013" max="12013" width="20.7109375" style="220" bestFit="1" customWidth="1"/>
    <col min="12014" max="12016" width="20.7109375" style="220" customWidth="1"/>
    <col min="12017" max="12017" width="20.7109375" style="220" bestFit="1" customWidth="1"/>
    <col min="12018" max="12018" width="12.140625" style="220" customWidth="1"/>
    <col min="12019" max="12247" width="8.7109375" style="220" customWidth="1"/>
    <col min="12248" max="12248" width="7.28515625" style="220" customWidth="1"/>
    <col min="12249" max="12249" width="18.28515625" style="220" customWidth="1"/>
    <col min="12250" max="12250" width="23.42578125" style="220" bestFit="1" customWidth="1"/>
    <col min="12251" max="12252" width="10.140625" style="220" bestFit="1" customWidth="1"/>
    <col min="12253" max="12255" width="10.140625" style="220" customWidth="1"/>
    <col min="12256" max="12256" width="16.28515625" style="220" customWidth="1"/>
    <col min="12257" max="12257" width="20.28515625" style="220" bestFit="1" customWidth="1"/>
    <col min="12258" max="12260" width="20.28515625" style="220" customWidth="1"/>
    <col min="12261" max="12261" width="20.28515625" style="220" bestFit="1" customWidth="1"/>
    <col min="12262" max="12262" width="15.42578125" style="220" customWidth="1"/>
    <col min="12263" max="12263" width="20.28515625" style="220" bestFit="1" customWidth="1"/>
    <col min="12264" max="12266" width="20.28515625" style="220" customWidth="1"/>
    <col min="12267" max="12267" width="20.28515625" style="220" bestFit="1" customWidth="1"/>
    <col min="12268" max="12268" width="15.42578125" style="220" customWidth="1"/>
    <col min="12269" max="12269" width="20.7109375" style="220" bestFit="1" customWidth="1"/>
    <col min="12270" max="12272" width="20.7109375" style="220" customWidth="1"/>
    <col min="12273" max="12273" width="20.7109375" style="220" bestFit="1" customWidth="1"/>
    <col min="12274" max="12274" width="12.140625" style="220" customWidth="1"/>
    <col min="12275" max="12503" width="8.7109375" style="220" customWidth="1"/>
    <col min="12504" max="12504" width="7.28515625" style="220" customWidth="1"/>
    <col min="12505" max="12505" width="18.28515625" style="220" customWidth="1"/>
    <col min="12506" max="12506" width="23.42578125" style="220" bestFit="1" customWidth="1"/>
    <col min="12507" max="12508" width="10.140625" style="220" bestFit="1" customWidth="1"/>
    <col min="12509" max="12511" width="10.140625" style="220" customWidth="1"/>
    <col min="12512" max="12512" width="16.28515625" style="220" customWidth="1"/>
    <col min="12513" max="12513" width="20.28515625" style="220" bestFit="1" customWidth="1"/>
    <col min="12514" max="12516" width="20.28515625" style="220" customWidth="1"/>
    <col min="12517" max="12517" width="20.28515625" style="220" bestFit="1" customWidth="1"/>
    <col min="12518" max="12518" width="15.42578125" style="220" customWidth="1"/>
    <col min="12519" max="12519" width="20.28515625" style="220" bestFit="1" customWidth="1"/>
    <col min="12520" max="12522" width="20.28515625" style="220" customWidth="1"/>
    <col min="12523" max="12523" width="20.28515625" style="220" bestFit="1" customWidth="1"/>
    <col min="12524" max="12524" width="15.42578125" style="220" customWidth="1"/>
    <col min="12525" max="12525" width="20.7109375" style="220" bestFit="1" customWidth="1"/>
    <col min="12526" max="12528" width="20.7109375" style="220" customWidth="1"/>
    <col min="12529" max="12529" width="20.7109375" style="220" bestFit="1" customWidth="1"/>
    <col min="12530" max="12530" width="12.140625" style="220" customWidth="1"/>
    <col min="12531" max="12759" width="8.7109375" style="220" customWidth="1"/>
    <col min="12760" max="12760" width="7.28515625" style="220" customWidth="1"/>
    <col min="12761" max="12761" width="18.28515625" style="220" customWidth="1"/>
    <col min="12762" max="12762" width="23.42578125" style="220" bestFit="1" customWidth="1"/>
    <col min="12763" max="12764" width="10.140625" style="220" bestFit="1" customWidth="1"/>
    <col min="12765" max="12767" width="10.140625" style="220" customWidth="1"/>
    <col min="12768" max="12768" width="16.28515625" style="220" customWidth="1"/>
    <col min="12769" max="12769" width="20.28515625" style="220" bestFit="1" customWidth="1"/>
    <col min="12770" max="12772" width="20.28515625" style="220" customWidth="1"/>
    <col min="12773" max="12773" width="20.28515625" style="220" bestFit="1" customWidth="1"/>
    <col min="12774" max="12774" width="15.42578125" style="220" customWidth="1"/>
    <col min="12775" max="12775" width="20.28515625" style="220" bestFit="1" customWidth="1"/>
    <col min="12776" max="12778" width="20.28515625" style="220" customWidth="1"/>
    <col min="12779" max="12779" width="20.28515625" style="220" bestFit="1" customWidth="1"/>
    <col min="12780" max="12780" width="15.42578125" style="220" customWidth="1"/>
    <col min="12781" max="12781" width="20.7109375" style="220" bestFit="1" customWidth="1"/>
    <col min="12782" max="12784" width="20.7109375" style="220" customWidth="1"/>
    <col min="12785" max="12785" width="20.7109375" style="220" bestFit="1" customWidth="1"/>
    <col min="12786" max="12786" width="12.140625" style="220" customWidth="1"/>
    <col min="12787" max="13015" width="8.7109375" style="220" customWidth="1"/>
    <col min="13016" max="13016" width="7.28515625" style="220" customWidth="1"/>
    <col min="13017" max="13017" width="18.28515625" style="220" customWidth="1"/>
    <col min="13018" max="13018" width="23.42578125" style="220" bestFit="1" customWidth="1"/>
    <col min="13019" max="13020" width="10.140625" style="220" bestFit="1" customWidth="1"/>
    <col min="13021" max="13023" width="10.140625" style="220" customWidth="1"/>
    <col min="13024" max="13024" width="16.28515625" style="220" customWidth="1"/>
    <col min="13025" max="13025" width="20.28515625" style="220" bestFit="1" customWidth="1"/>
    <col min="13026" max="13028" width="20.28515625" style="220" customWidth="1"/>
    <col min="13029" max="13029" width="20.28515625" style="220" bestFit="1" customWidth="1"/>
    <col min="13030" max="13030" width="15.42578125" style="220" customWidth="1"/>
    <col min="13031" max="13031" width="20.28515625" style="220" bestFit="1" customWidth="1"/>
    <col min="13032" max="13034" width="20.28515625" style="220" customWidth="1"/>
    <col min="13035" max="13035" width="20.28515625" style="220" bestFit="1" customWidth="1"/>
    <col min="13036" max="13036" width="15.42578125" style="220" customWidth="1"/>
    <col min="13037" max="13037" width="20.7109375" style="220" bestFit="1" customWidth="1"/>
    <col min="13038" max="13040" width="20.7109375" style="220" customWidth="1"/>
    <col min="13041" max="13041" width="20.7109375" style="220" bestFit="1" customWidth="1"/>
    <col min="13042" max="13042" width="12.140625" style="220" customWidth="1"/>
    <col min="13043" max="13271" width="8.7109375" style="220" customWidth="1"/>
    <col min="13272" max="13272" width="7.28515625" style="220" customWidth="1"/>
    <col min="13273" max="13273" width="18.28515625" style="220" customWidth="1"/>
    <col min="13274" max="13274" width="23.42578125" style="220" bestFit="1" customWidth="1"/>
    <col min="13275" max="13276" width="10.140625" style="220" bestFit="1" customWidth="1"/>
    <col min="13277" max="13279" width="10.140625" style="220" customWidth="1"/>
    <col min="13280" max="13280" width="16.28515625" style="220" customWidth="1"/>
    <col min="13281" max="13281" width="20.28515625" style="220" bestFit="1" customWidth="1"/>
    <col min="13282" max="13284" width="20.28515625" style="220" customWidth="1"/>
    <col min="13285" max="13285" width="20.28515625" style="220" bestFit="1" customWidth="1"/>
    <col min="13286" max="13286" width="15.42578125" style="220" customWidth="1"/>
    <col min="13287" max="13287" width="20.28515625" style="220" bestFit="1" customWidth="1"/>
    <col min="13288" max="13290" width="20.28515625" style="220" customWidth="1"/>
    <col min="13291" max="13291" width="20.28515625" style="220" bestFit="1" customWidth="1"/>
    <col min="13292" max="13292" width="15.42578125" style="220" customWidth="1"/>
    <col min="13293" max="13293" width="20.7109375" style="220" bestFit="1" customWidth="1"/>
    <col min="13294" max="13296" width="20.7109375" style="220" customWidth="1"/>
    <col min="13297" max="13297" width="20.7109375" style="220" bestFit="1" customWidth="1"/>
    <col min="13298" max="13298" width="12.140625" style="220" customWidth="1"/>
    <col min="13299" max="13527" width="8.7109375" style="220" customWidth="1"/>
    <col min="13528" max="13528" width="7.28515625" style="220" customWidth="1"/>
    <col min="13529" max="13529" width="18.28515625" style="220" customWidth="1"/>
    <col min="13530" max="13530" width="23.42578125" style="220" bestFit="1" customWidth="1"/>
    <col min="13531" max="13532" width="10.140625" style="220" bestFit="1" customWidth="1"/>
    <col min="13533" max="13535" width="10.140625" style="220" customWidth="1"/>
    <col min="13536" max="13536" width="16.28515625" style="220" customWidth="1"/>
    <col min="13537" max="13537" width="20.28515625" style="220" bestFit="1" customWidth="1"/>
    <col min="13538" max="13540" width="20.28515625" style="220" customWidth="1"/>
    <col min="13541" max="13541" width="20.28515625" style="220" bestFit="1" customWidth="1"/>
    <col min="13542" max="13542" width="15.42578125" style="220" customWidth="1"/>
    <col min="13543" max="13543" width="20.28515625" style="220" bestFit="1" customWidth="1"/>
    <col min="13544" max="13546" width="20.28515625" style="220" customWidth="1"/>
    <col min="13547" max="13547" width="20.28515625" style="220" bestFit="1" customWidth="1"/>
    <col min="13548" max="13548" width="15.42578125" style="220" customWidth="1"/>
    <col min="13549" max="13549" width="20.7109375" style="220" bestFit="1" customWidth="1"/>
    <col min="13550" max="13552" width="20.7109375" style="220" customWidth="1"/>
    <col min="13553" max="13553" width="20.7109375" style="220" bestFit="1" customWidth="1"/>
    <col min="13554" max="13554" width="12.140625" style="220" customWidth="1"/>
    <col min="13555" max="13783" width="8.7109375" style="220" customWidth="1"/>
    <col min="13784" max="13784" width="7.28515625" style="220" customWidth="1"/>
    <col min="13785" max="13785" width="18.28515625" style="220" customWidth="1"/>
    <col min="13786" max="13786" width="23.42578125" style="220" bestFit="1" customWidth="1"/>
    <col min="13787" max="13788" width="10.140625" style="220" bestFit="1" customWidth="1"/>
    <col min="13789" max="13791" width="10.140625" style="220" customWidth="1"/>
    <col min="13792" max="13792" width="16.28515625" style="220" customWidth="1"/>
    <col min="13793" max="13793" width="20.28515625" style="220" bestFit="1" customWidth="1"/>
    <col min="13794" max="13796" width="20.28515625" style="220" customWidth="1"/>
    <col min="13797" max="13797" width="20.28515625" style="220" bestFit="1" customWidth="1"/>
    <col min="13798" max="13798" width="15.42578125" style="220" customWidth="1"/>
    <col min="13799" max="13799" width="20.28515625" style="220" bestFit="1" customWidth="1"/>
    <col min="13800" max="13802" width="20.28515625" style="220" customWidth="1"/>
    <col min="13803" max="13803" width="20.28515625" style="220" bestFit="1" customWidth="1"/>
    <col min="13804" max="13804" width="15.42578125" style="220" customWidth="1"/>
    <col min="13805" max="13805" width="20.7109375" style="220" bestFit="1" customWidth="1"/>
    <col min="13806" max="13808" width="20.7109375" style="220" customWidth="1"/>
    <col min="13809" max="13809" width="20.7109375" style="220" bestFit="1" customWidth="1"/>
    <col min="13810" max="13810" width="12.140625" style="220" customWidth="1"/>
    <col min="13811" max="14039" width="8.7109375" style="220" customWidth="1"/>
    <col min="14040" max="14040" width="7.28515625" style="220" customWidth="1"/>
    <col min="14041" max="14041" width="18.28515625" style="220" customWidth="1"/>
    <col min="14042" max="14042" width="23.42578125" style="220" bestFit="1" customWidth="1"/>
    <col min="14043" max="14044" width="10.140625" style="220" bestFit="1" customWidth="1"/>
    <col min="14045" max="14047" width="10.140625" style="220" customWidth="1"/>
    <col min="14048" max="14048" width="16.28515625" style="220" customWidth="1"/>
    <col min="14049" max="14049" width="20.28515625" style="220" bestFit="1" customWidth="1"/>
    <col min="14050" max="14052" width="20.28515625" style="220" customWidth="1"/>
    <col min="14053" max="14053" width="20.28515625" style="220" bestFit="1" customWidth="1"/>
    <col min="14054" max="14054" width="15.42578125" style="220" customWidth="1"/>
    <col min="14055" max="14055" width="20.28515625" style="220" bestFit="1" customWidth="1"/>
    <col min="14056" max="14058" width="20.28515625" style="220" customWidth="1"/>
    <col min="14059" max="14059" width="20.28515625" style="220" bestFit="1" customWidth="1"/>
    <col min="14060" max="14060" width="15.42578125" style="220" customWidth="1"/>
    <col min="14061" max="14061" width="20.7109375" style="220" bestFit="1" customWidth="1"/>
    <col min="14062" max="14064" width="20.7109375" style="220" customWidth="1"/>
    <col min="14065" max="14065" width="20.7109375" style="220" bestFit="1" customWidth="1"/>
    <col min="14066" max="14066" width="12.140625" style="220" customWidth="1"/>
    <col min="14067" max="14295" width="8.7109375" style="220" customWidth="1"/>
    <col min="14296" max="14296" width="7.28515625" style="220" customWidth="1"/>
    <col min="14297" max="14297" width="18.28515625" style="220" customWidth="1"/>
    <col min="14298" max="14298" width="23.42578125" style="220" bestFit="1" customWidth="1"/>
    <col min="14299" max="14300" width="10.140625" style="220" bestFit="1" customWidth="1"/>
    <col min="14301" max="14303" width="10.140625" style="220" customWidth="1"/>
    <col min="14304" max="14304" width="16.28515625" style="220" customWidth="1"/>
    <col min="14305" max="14305" width="20.28515625" style="220" bestFit="1" customWidth="1"/>
    <col min="14306" max="14308" width="20.28515625" style="220" customWidth="1"/>
    <col min="14309" max="14309" width="20.28515625" style="220" bestFit="1" customWidth="1"/>
    <col min="14310" max="14310" width="15.42578125" style="220" customWidth="1"/>
    <col min="14311" max="14311" width="20.28515625" style="220" bestFit="1" customWidth="1"/>
    <col min="14312" max="14314" width="20.28515625" style="220" customWidth="1"/>
    <col min="14315" max="14315" width="20.28515625" style="220" bestFit="1" customWidth="1"/>
    <col min="14316" max="14316" width="15.42578125" style="220" customWidth="1"/>
    <col min="14317" max="14317" width="20.7109375" style="220" bestFit="1" customWidth="1"/>
    <col min="14318" max="14320" width="20.7109375" style="220" customWidth="1"/>
    <col min="14321" max="14321" width="20.7109375" style="220" bestFit="1" customWidth="1"/>
    <col min="14322" max="14322" width="12.140625" style="220" customWidth="1"/>
    <col min="14323" max="14551" width="8.7109375" style="220" customWidth="1"/>
    <col min="14552" max="14552" width="7.28515625" style="220" customWidth="1"/>
    <col min="14553" max="14553" width="18.28515625" style="220" customWidth="1"/>
    <col min="14554" max="14554" width="23.42578125" style="220" bestFit="1" customWidth="1"/>
    <col min="14555" max="14556" width="10.140625" style="220" bestFit="1" customWidth="1"/>
    <col min="14557" max="14559" width="10.140625" style="220" customWidth="1"/>
    <col min="14560" max="14560" width="16.28515625" style="220" customWidth="1"/>
    <col min="14561" max="14561" width="20.28515625" style="220" bestFit="1" customWidth="1"/>
    <col min="14562" max="14564" width="20.28515625" style="220" customWidth="1"/>
    <col min="14565" max="14565" width="20.28515625" style="220" bestFit="1" customWidth="1"/>
    <col min="14566" max="14566" width="15.42578125" style="220" customWidth="1"/>
    <col min="14567" max="14567" width="20.28515625" style="220" bestFit="1" customWidth="1"/>
    <col min="14568" max="14570" width="20.28515625" style="220" customWidth="1"/>
    <col min="14571" max="14571" width="20.28515625" style="220" bestFit="1" customWidth="1"/>
    <col min="14572" max="14572" width="15.42578125" style="220" customWidth="1"/>
    <col min="14573" max="14573" width="20.7109375" style="220" bestFit="1" customWidth="1"/>
    <col min="14574" max="14576" width="20.7109375" style="220" customWidth="1"/>
    <col min="14577" max="14577" width="20.7109375" style="220" bestFit="1" customWidth="1"/>
    <col min="14578" max="14578" width="12.140625" style="220" customWidth="1"/>
    <col min="14579" max="14807" width="8.7109375" style="220" customWidth="1"/>
    <col min="14808" max="14808" width="7.28515625" style="220" customWidth="1"/>
    <col min="14809" max="14809" width="18.28515625" style="220" customWidth="1"/>
    <col min="14810" max="14810" width="23.42578125" style="220" bestFit="1" customWidth="1"/>
    <col min="14811" max="14812" width="10.140625" style="220" bestFit="1" customWidth="1"/>
    <col min="14813" max="14815" width="10.140625" style="220" customWidth="1"/>
    <col min="14816" max="14816" width="16.28515625" style="220" customWidth="1"/>
    <col min="14817" max="14817" width="20.28515625" style="220" bestFit="1" customWidth="1"/>
    <col min="14818" max="14820" width="20.28515625" style="220" customWidth="1"/>
    <col min="14821" max="14821" width="20.28515625" style="220" bestFit="1" customWidth="1"/>
    <col min="14822" max="14822" width="15.42578125" style="220" customWidth="1"/>
    <col min="14823" max="14823" width="20.28515625" style="220" bestFit="1" customWidth="1"/>
    <col min="14824" max="14826" width="20.28515625" style="220" customWidth="1"/>
    <col min="14827" max="14827" width="20.28515625" style="220" bestFit="1" customWidth="1"/>
    <col min="14828" max="14828" width="15.42578125" style="220" customWidth="1"/>
    <col min="14829" max="14829" width="20.7109375" style="220" bestFit="1" customWidth="1"/>
    <col min="14830" max="14832" width="20.7109375" style="220" customWidth="1"/>
    <col min="14833" max="14833" width="20.7109375" style="220" bestFit="1" customWidth="1"/>
    <col min="14834" max="14834" width="12.140625" style="220" customWidth="1"/>
    <col min="14835" max="15063" width="8.7109375" style="220" customWidth="1"/>
    <col min="15064" max="15064" width="7.28515625" style="220" customWidth="1"/>
    <col min="15065" max="15065" width="18.28515625" style="220" customWidth="1"/>
    <col min="15066" max="15066" width="23.42578125" style="220" bestFit="1" customWidth="1"/>
    <col min="15067" max="15068" width="10.140625" style="220" bestFit="1" customWidth="1"/>
    <col min="15069" max="15071" width="10.140625" style="220" customWidth="1"/>
    <col min="15072" max="15072" width="16.28515625" style="220" customWidth="1"/>
    <col min="15073" max="15073" width="20.28515625" style="220" bestFit="1" customWidth="1"/>
    <col min="15074" max="15076" width="20.28515625" style="220" customWidth="1"/>
    <col min="15077" max="15077" width="20.28515625" style="220" bestFit="1" customWidth="1"/>
    <col min="15078" max="15078" width="15.42578125" style="220" customWidth="1"/>
    <col min="15079" max="15079" width="20.28515625" style="220" bestFit="1" customWidth="1"/>
    <col min="15080" max="15082" width="20.28515625" style="220" customWidth="1"/>
    <col min="15083" max="15083" width="20.28515625" style="220" bestFit="1" customWidth="1"/>
    <col min="15084" max="15084" width="15.42578125" style="220" customWidth="1"/>
    <col min="15085" max="15085" width="20.7109375" style="220" bestFit="1" customWidth="1"/>
    <col min="15086" max="15088" width="20.7109375" style="220" customWidth="1"/>
    <col min="15089" max="15089" width="20.7109375" style="220" bestFit="1" customWidth="1"/>
    <col min="15090" max="15090" width="12.140625" style="220" customWidth="1"/>
    <col min="15091" max="15319" width="8.7109375" style="220" customWidth="1"/>
    <col min="15320" max="15320" width="7.28515625" style="220" customWidth="1"/>
    <col min="15321" max="15321" width="18.28515625" style="220" customWidth="1"/>
    <col min="15322" max="15322" width="23.42578125" style="220" bestFit="1" customWidth="1"/>
    <col min="15323" max="15324" width="10.140625" style="220" bestFit="1" customWidth="1"/>
    <col min="15325" max="15327" width="10.140625" style="220" customWidth="1"/>
    <col min="15328" max="15328" width="16.28515625" style="220" customWidth="1"/>
    <col min="15329" max="15329" width="20.28515625" style="220" bestFit="1" customWidth="1"/>
    <col min="15330" max="15332" width="20.28515625" style="220" customWidth="1"/>
    <col min="15333" max="15333" width="20.28515625" style="220" bestFit="1" customWidth="1"/>
    <col min="15334" max="15334" width="15.42578125" style="220" customWidth="1"/>
    <col min="15335" max="15335" width="20.28515625" style="220" bestFit="1" customWidth="1"/>
    <col min="15336" max="15338" width="20.28515625" style="220" customWidth="1"/>
    <col min="15339" max="15339" width="20.28515625" style="220" bestFit="1" customWidth="1"/>
    <col min="15340" max="15340" width="15.42578125" style="220" customWidth="1"/>
    <col min="15341" max="15341" width="20.7109375" style="220" bestFit="1" customWidth="1"/>
    <col min="15342" max="15344" width="20.7109375" style="220" customWidth="1"/>
    <col min="15345" max="15345" width="20.7109375" style="220" bestFit="1" customWidth="1"/>
    <col min="15346" max="15346" width="12.140625" style="220" customWidth="1"/>
    <col min="15347" max="15575" width="8.7109375" style="220" customWidth="1"/>
    <col min="15576" max="15576" width="7.28515625" style="220" customWidth="1"/>
    <col min="15577" max="15577" width="18.28515625" style="220" customWidth="1"/>
    <col min="15578" max="15578" width="23.42578125" style="220" bestFit="1" customWidth="1"/>
    <col min="15579" max="15580" width="10.140625" style="220" bestFit="1" customWidth="1"/>
    <col min="15581" max="15583" width="10.140625" style="220" customWidth="1"/>
    <col min="15584" max="15584" width="16.28515625" style="220" customWidth="1"/>
    <col min="15585" max="15585" width="20.28515625" style="220" bestFit="1" customWidth="1"/>
    <col min="15586" max="15588" width="20.28515625" style="220" customWidth="1"/>
    <col min="15589" max="15589" width="20.28515625" style="220" bestFit="1" customWidth="1"/>
    <col min="15590" max="15590" width="15.42578125" style="220" customWidth="1"/>
    <col min="15591" max="15591" width="20.28515625" style="220" bestFit="1" customWidth="1"/>
    <col min="15592" max="15594" width="20.28515625" style="220" customWidth="1"/>
    <col min="15595" max="15595" width="20.28515625" style="220" bestFit="1" customWidth="1"/>
    <col min="15596" max="15596" width="15.42578125" style="220" customWidth="1"/>
    <col min="15597" max="15597" width="20.7109375" style="220" bestFit="1" customWidth="1"/>
    <col min="15598" max="15600" width="20.7109375" style="220" customWidth="1"/>
    <col min="15601" max="15601" width="20.7109375" style="220" bestFit="1" customWidth="1"/>
    <col min="15602" max="15602" width="12.140625" style="220" customWidth="1"/>
    <col min="15603" max="15831" width="8.7109375" style="220" customWidth="1"/>
    <col min="15832" max="15832" width="7.28515625" style="220" customWidth="1"/>
    <col min="15833" max="15833" width="18.28515625" style="220" customWidth="1"/>
    <col min="15834" max="15834" width="23.42578125" style="220" bestFit="1" customWidth="1"/>
    <col min="15835" max="15836" width="10.140625" style="220" bestFit="1" customWidth="1"/>
    <col min="15837" max="15839" width="10.140625" style="220" customWidth="1"/>
    <col min="15840" max="15840" width="16.28515625" style="220" customWidth="1"/>
    <col min="15841" max="15841" width="20.28515625" style="220" bestFit="1" customWidth="1"/>
    <col min="15842" max="15844" width="20.28515625" style="220" customWidth="1"/>
    <col min="15845" max="15845" width="20.28515625" style="220" bestFit="1" customWidth="1"/>
    <col min="15846" max="15846" width="15.42578125" style="220" customWidth="1"/>
    <col min="15847" max="15847" width="20.28515625" style="220" bestFit="1" customWidth="1"/>
    <col min="15848" max="15850" width="20.28515625" style="220" customWidth="1"/>
    <col min="15851" max="15851" width="20.28515625" style="220" bestFit="1" customWidth="1"/>
    <col min="15852" max="15852" width="15.42578125" style="220" customWidth="1"/>
    <col min="15853" max="15853" width="20.7109375" style="220" bestFit="1" customWidth="1"/>
    <col min="15854" max="15856" width="20.7109375" style="220" customWidth="1"/>
    <col min="15857" max="15857" width="20.7109375" style="220" bestFit="1" customWidth="1"/>
    <col min="15858" max="15858" width="12.140625" style="220" customWidth="1"/>
    <col min="15859" max="16087" width="8.7109375" style="220" customWidth="1"/>
    <col min="16088" max="16088" width="7.28515625" style="220" customWidth="1"/>
    <col min="16089" max="16089" width="18.28515625" style="220" customWidth="1"/>
    <col min="16090" max="16090" width="23.42578125" style="220" bestFit="1" customWidth="1"/>
    <col min="16091" max="16092" width="10.140625" style="220" bestFit="1" customWidth="1"/>
    <col min="16093" max="16095" width="10.140625" style="220" customWidth="1"/>
    <col min="16096" max="16096" width="16.28515625" style="220" customWidth="1"/>
    <col min="16097" max="16097" width="20.28515625" style="220" bestFit="1" customWidth="1"/>
    <col min="16098" max="16100" width="20.28515625" style="220" customWidth="1"/>
    <col min="16101" max="16101" width="20.28515625" style="220" bestFit="1" customWidth="1"/>
    <col min="16102" max="16102" width="15.42578125" style="220" customWidth="1"/>
    <col min="16103" max="16103" width="20.28515625" style="220" bestFit="1" customWidth="1"/>
    <col min="16104" max="16106" width="20.28515625" style="220" customWidth="1"/>
    <col min="16107" max="16107" width="20.28515625" style="220" bestFit="1" customWidth="1"/>
    <col min="16108" max="16108" width="15.42578125" style="220" customWidth="1"/>
    <col min="16109" max="16109" width="20.7109375" style="220" bestFit="1" customWidth="1"/>
    <col min="16110" max="16112" width="20.7109375" style="220" customWidth="1"/>
    <col min="16113" max="16113" width="20.7109375" style="220" bestFit="1" customWidth="1"/>
    <col min="16114" max="16114" width="12.140625" style="220" customWidth="1"/>
    <col min="16115" max="16384" width="8.7109375" style="220" customWidth="1"/>
  </cols>
  <sheetData>
    <row r="1" spans="1:17" s="194" customFormat="1"/>
    <row r="2" spans="1:17" s="194" customFormat="1" ht="13.5" thickBot="1"/>
    <row r="3" spans="1:17" s="194" customFormat="1" ht="13.5" thickBot="1">
      <c r="A3" s="338" t="s">
        <v>115</v>
      </c>
      <c r="B3" s="347" t="s">
        <v>116</v>
      </c>
      <c r="C3" s="342" t="s">
        <v>178</v>
      </c>
      <c r="D3" s="388" t="s">
        <v>343</v>
      </c>
      <c r="E3" s="389"/>
      <c r="F3" s="390"/>
      <c r="G3" s="391" t="s">
        <v>344</v>
      </c>
      <c r="H3" s="385"/>
      <c r="I3" s="385"/>
      <c r="J3" s="385"/>
      <c r="K3" s="391" t="s">
        <v>345</v>
      </c>
      <c r="L3" s="385"/>
      <c r="M3" s="386"/>
      <c r="N3" s="333" t="s">
        <v>346</v>
      </c>
      <c r="O3" s="333"/>
      <c r="P3" s="333"/>
      <c r="Q3" s="334"/>
    </row>
    <row r="4" spans="1:17" s="194" customFormat="1" ht="46.5" customHeight="1" thickBot="1">
      <c r="A4" s="339"/>
      <c r="B4" s="348"/>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298</v>
      </c>
      <c r="C5" s="200"/>
      <c r="D5" s="201"/>
      <c r="E5" s="202"/>
      <c r="F5" s="202"/>
      <c r="G5" s="202"/>
      <c r="H5" s="203"/>
      <c r="I5" s="204"/>
      <c r="J5" s="200"/>
      <c r="K5" s="205"/>
      <c r="L5" s="206"/>
      <c r="M5" s="206"/>
      <c r="N5" s="206"/>
      <c r="O5" s="206"/>
      <c r="P5" s="206"/>
      <c r="Q5" s="206"/>
    </row>
    <row r="6" spans="1:17" s="194" customFormat="1">
      <c r="A6" s="198">
        <v>2</v>
      </c>
      <c r="B6" s="199" t="s">
        <v>299</v>
      </c>
      <c r="C6" s="200"/>
      <c r="D6" s="201"/>
      <c r="E6" s="202"/>
      <c r="F6" s="202"/>
      <c r="G6" s="202"/>
      <c r="H6" s="203"/>
      <c r="I6" s="204"/>
      <c r="J6" s="200"/>
      <c r="K6" s="205"/>
      <c r="L6" s="206"/>
      <c r="M6" s="206"/>
      <c r="N6" s="206"/>
      <c r="O6" s="206"/>
      <c r="P6" s="206"/>
      <c r="Q6" s="206"/>
    </row>
    <row r="7" spans="1:17" s="194" customFormat="1">
      <c r="A7" s="198">
        <v>3</v>
      </c>
      <c r="B7" s="199" t="s">
        <v>300</v>
      </c>
      <c r="C7" s="200"/>
      <c r="D7" s="201"/>
      <c r="E7" s="202"/>
      <c r="F7" s="202"/>
      <c r="G7" s="202"/>
      <c r="H7" s="203"/>
      <c r="I7" s="204"/>
      <c r="J7" s="200"/>
      <c r="K7" s="205"/>
      <c r="L7" s="206"/>
      <c r="M7" s="206"/>
      <c r="N7" s="206"/>
      <c r="O7" s="206"/>
      <c r="P7" s="206"/>
      <c r="Q7" s="206"/>
    </row>
    <row r="8" spans="1:17" s="194" customFormat="1">
      <c r="A8" s="198">
        <v>4</v>
      </c>
      <c r="B8" s="199" t="s">
        <v>301</v>
      </c>
      <c r="C8" s="200"/>
      <c r="D8" s="201"/>
      <c r="E8" s="202"/>
      <c r="F8" s="202"/>
      <c r="G8" s="202"/>
      <c r="H8" s="203"/>
      <c r="I8" s="204"/>
      <c r="J8" s="200"/>
      <c r="K8" s="205"/>
      <c r="L8" s="206"/>
      <c r="M8" s="206"/>
      <c r="N8" s="206"/>
      <c r="O8" s="206"/>
      <c r="P8" s="206"/>
      <c r="Q8" s="206"/>
    </row>
    <row r="9" spans="1:17" s="194" customFormat="1">
      <c r="A9" s="207">
        <v>5</v>
      </c>
      <c r="B9" s="199" t="s">
        <v>302</v>
      </c>
      <c r="C9" s="200"/>
      <c r="D9" s="201"/>
      <c r="E9" s="202"/>
      <c r="F9" s="202"/>
      <c r="G9" s="202"/>
      <c r="H9" s="203"/>
      <c r="I9" s="204"/>
      <c r="J9" s="200"/>
      <c r="K9" s="205"/>
      <c r="L9" s="206"/>
      <c r="M9" s="206"/>
      <c r="N9" s="206"/>
      <c r="O9" s="206"/>
      <c r="P9" s="206"/>
      <c r="Q9" s="206"/>
    </row>
    <row r="10" spans="1:17" s="194" customFormat="1">
      <c r="A10" s="198">
        <v>6</v>
      </c>
      <c r="B10" s="199" t="s">
        <v>303</v>
      </c>
      <c r="C10" s="200"/>
      <c r="D10" s="201"/>
      <c r="E10" s="202"/>
      <c r="F10" s="202"/>
      <c r="G10" s="202"/>
      <c r="H10" s="203"/>
      <c r="I10" s="204"/>
      <c r="J10" s="200"/>
      <c r="K10" s="205"/>
      <c r="L10" s="206"/>
      <c r="M10" s="206"/>
      <c r="N10" s="206"/>
      <c r="O10" s="206"/>
      <c r="P10" s="206"/>
      <c r="Q10" s="206"/>
    </row>
    <row r="11" spans="1:17" s="194" customFormat="1">
      <c r="A11" s="207">
        <v>7</v>
      </c>
      <c r="B11" s="209" t="s">
        <v>304</v>
      </c>
      <c r="C11" s="208"/>
      <c r="D11" s="201"/>
      <c r="E11" s="202"/>
      <c r="F11" s="202"/>
      <c r="G11" s="202"/>
      <c r="H11" s="203"/>
      <c r="I11" s="204"/>
      <c r="J11" s="200"/>
      <c r="K11" s="205"/>
      <c r="L11" s="206"/>
      <c r="M11" s="206"/>
      <c r="N11" s="206"/>
      <c r="O11" s="206"/>
      <c r="P11" s="206"/>
      <c r="Q11" s="206"/>
    </row>
    <row r="12" spans="1:17" s="219" customFormat="1" ht="15" customHeight="1" thickBot="1">
      <c r="A12" s="344" t="s">
        <v>5</v>
      </c>
      <c r="B12" s="345"/>
      <c r="C12" s="346"/>
      <c r="D12" s="261"/>
      <c r="E12" s="262"/>
      <c r="F12" s="262"/>
      <c r="G12" s="262"/>
      <c r="H12" s="263"/>
      <c r="I12" s="264"/>
      <c r="J12" s="265"/>
      <c r="K12" s="266"/>
      <c r="L12" s="267"/>
      <c r="M12" s="267"/>
      <c r="N12" s="267"/>
      <c r="O12" s="268"/>
      <c r="P12" s="268"/>
      <c r="Q12" s="268"/>
    </row>
  </sheetData>
  <mergeCells count="8">
    <mergeCell ref="A12:C12"/>
    <mergeCell ref="A3:A4"/>
    <mergeCell ref="B3:B4"/>
    <mergeCell ref="C3:C4"/>
    <mergeCell ref="D3:F3"/>
    <mergeCell ref="G3:J3"/>
    <mergeCell ref="K3:M3"/>
    <mergeCell ref="N3:Q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6"/>
  <sheetViews>
    <sheetView workbookViewId="0">
      <selection activeCell="A5" sqref="A5:A15"/>
    </sheetView>
  </sheetViews>
  <sheetFormatPr defaultColWidth="11.5703125" defaultRowHeight="12.75"/>
  <cols>
    <col min="1" max="1" width="7.28515625" style="220" customWidth="1"/>
    <col min="2" max="2" width="42.5703125" style="220" bestFit="1" customWidth="1"/>
    <col min="3" max="3" width="23.5703125" style="220" customWidth="1"/>
    <col min="4" max="8" width="21.85546875" style="220" customWidth="1"/>
    <col min="9" max="17" width="26.7109375" style="220" customWidth="1"/>
    <col min="18" max="216" width="8.7109375" style="220" customWidth="1"/>
    <col min="217" max="217" width="7.28515625" style="220" customWidth="1"/>
    <col min="218" max="218" width="18.28515625" style="220" customWidth="1"/>
    <col min="219" max="219" width="23.42578125" style="220" bestFit="1" customWidth="1"/>
    <col min="220" max="221" width="10.140625" style="220" bestFit="1" customWidth="1"/>
    <col min="222" max="224" width="10.140625" style="220" customWidth="1"/>
    <col min="225" max="225" width="16.28515625" style="220" customWidth="1"/>
    <col min="226" max="226" width="20.28515625" style="220" bestFit="1" customWidth="1"/>
    <col min="227" max="229" width="20.28515625" style="220" customWidth="1"/>
    <col min="230" max="230" width="20.28515625" style="220" bestFit="1" customWidth="1"/>
    <col min="231" max="231" width="15.42578125" style="220" customWidth="1"/>
    <col min="232" max="232" width="20.28515625" style="220" bestFit="1" customWidth="1"/>
    <col min="233" max="235" width="20.28515625" style="220" customWidth="1"/>
    <col min="236" max="236" width="20.28515625" style="220" bestFit="1" customWidth="1"/>
    <col min="237" max="237" width="15.42578125" style="220" customWidth="1"/>
    <col min="238" max="238" width="20.7109375" style="220" bestFit="1" customWidth="1"/>
    <col min="239" max="241" width="20.7109375" style="220" customWidth="1"/>
    <col min="242" max="242" width="20.7109375" style="220" bestFit="1" customWidth="1"/>
    <col min="243" max="243" width="12.140625" style="220" customWidth="1"/>
    <col min="244" max="472" width="8.7109375" style="220" customWidth="1"/>
    <col min="473" max="473" width="7.28515625" style="220" customWidth="1"/>
    <col min="474" max="474" width="18.28515625" style="220" customWidth="1"/>
    <col min="475" max="475" width="23.42578125" style="220" bestFit="1" customWidth="1"/>
    <col min="476" max="477" width="10.140625" style="220" bestFit="1" customWidth="1"/>
    <col min="478" max="480" width="10.140625" style="220" customWidth="1"/>
    <col min="481" max="481" width="16.28515625" style="220" customWidth="1"/>
    <col min="482" max="482" width="20.28515625" style="220" bestFit="1" customWidth="1"/>
    <col min="483" max="485" width="20.28515625" style="220" customWidth="1"/>
    <col min="486" max="486" width="20.28515625" style="220" bestFit="1" customWidth="1"/>
    <col min="487" max="487" width="15.42578125" style="220" customWidth="1"/>
    <col min="488" max="488" width="20.28515625" style="220" bestFit="1" customWidth="1"/>
    <col min="489" max="491" width="20.28515625" style="220" customWidth="1"/>
    <col min="492" max="492" width="20.28515625" style="220" bestFit="1" customWidth="1"/>
    <col min="493" max="493" width="15.42578125" style="220" customWidth="1"/>
    <col min="494" max="494" width="20.7109375" style="220" bestFit="1" customWidth="1"/>
    <col min="495" max="497" width="20.7109375" style="220" customWidth="1"/>
    <col min="498" max="498" width="20.7109375" style="220" bestFit="1" customWidth="1"/>
    <col min="499" max="499" width="12.140625" style="220" customWidth="1"/>
    <col min="500" max="728" width="8.7109375" style="220" customWidth="1"/>
    <col min="729" max="729" width="7.28515625" style="220" customWidth="1"/>
    <col min="730" max="730" width="18.28515625" style="220" customWidth="1"/>
    <col min="731" max="731" width="23.42578125" style="220" bestFit="1" customWidth="1"/>
    <col min="732" max="733" width="10.140625" style="220" bestFit="1" customWidth="1"/>
    <col min="734" max="736" width="10.140625" style="220" customWidth="1"/>
    <col min="737" max="737" width="16.28515625" style="220" customWidth="1"/>
    <col min="738" max="738" width="20.28515625" style="220" bestFit="1" customWidth="1"/>
    <col min="739" max="741" width="20.28515625" style="220" customWidth="1"/>
    <col min="742" max="742" width="20.28515625" style="220" bestFit="1" customWidth="1"/>
    <col min="743" max="743" width="15.42578125" style="220" customWidth="1"/>
    <col min="744" max="744" width="20.28515625" style="220" bestFit="1" customWidth="1"/>
    <col min="745" max="747" width="20.28515625" style="220" customWidth="1"/>
    <col min="748" max="748" width="20.28515625" style="220" bestFit="1" customWidth="1"/>
    <col min="749" max="749" width="15.42578125" style="220" customWidth="1"/>
    <col min="750" max="750" width="20.7109375" style="220" bestFit="1" customWidth="1"/>
    <col min="751" max="753" width="20.7109375" style="220" customWidth="1"/>
    <col min="754" max="754" width="20.7109375" style="220" bestFit="1" customWidth="1"/>
    <col min="755" max="755" width="12.140625" style="220" customWidth="1"/>
    <col min="756" max="984" width="8.7109375" style="220" customWidth="1"/>
    <col min="985" max="985" width="7.28515625" style="220" customWidth="1"/>
    <col min="986" max="986" width="18.28515625" style="220" customWidth="1"/>
    <col min="987" max="987" width="23.42578125" style="220" bestFit="1" customWidth="1"/>
    <col min="988" max="989" width="10.140625" style="220" bestFit="1" customWidth="1"/>
    <col min="990" max="992" width="10.140625" style="220" customWidth="1"/>
    <col min="993" max="993" width="16.28515625" style="220" customWidth="1"/>
    <col min="994" max="994" width="20.28515625" style="220" bestFit="1" customWidth="1"/>
    <col min="995" max="997" width="20.28515625" style="220" customWidth="1"/>
    <col min="998" max="998" width="20.28515625" style="220" bestFit="1" customWidth="1"/>
    <col min="999" max="999" width="15.42578125" style="220" customWidth="1"/>
    <col min="1000" max="1000" width="20.28515625" style="220" bestFit="1" customWidth="1"/>
    <col min="1001" max="1003" width="20.28515625" style="220" customWidth="1"/>
    <col min="1004" max="1004" width="20.28515625" style="220" bestFit="1" customWidth="1"/>
    <col min="1005" max="1005" width="15.42578125" style="220" customWidth="1"/>
    <col min="1006" max="1006" width="20.7109375" style="220" bestFit="1" customWidth="1"/>
    <col min="1007" max="1009" width="20.7109375" style="220" customWidth="1"/>
    <col min="1010" max="1010" width="20.7109375" style="220" bestFit="1" customWidth="1"/>
    <col min="1011" max="1011" width="12.140625" style="220" customWidth="1"/>
    <col min="1012" max="1240" width="8.7109375" style="220" customWidth="1"/>
    <col min="1241" max="1241" width="7.28515625" style="220" customWidth="1"/>
    <col min="1242" max="1242" width="18.28515625" style="220" customWidth="1"/>
    <col min="1243" max="1243" width="23.42578125" style="220" bestFit="1" customWidth="1"/>
    <col min="1244" max="1245" width="10.140625" style="220" bestFit="1" customWidth="1"/>
    <col min="1246" max="1248" width="10.140625" style="220" customWidth="1"/>
    <col min="1249" max="1249" width="16.28515625" style="220" customWidth="1"/>
    <col min="1250" max="1250" width="20.28515625" style="220" bestFit="1" customWidth="1"/>
    <col min="1251" max="1253" width="20.28515625" style="220" customWidth="1"/>
    <col min="1254" max="1254" width="20.28515625" style="220" bestFit="1" customWidth="1"/>
    <col min="1255" max="1255" width="15.42578125" style="220" customWidth="1"/>
    <col min="1256" max="1256" width="20.28515625" style="220" bestFit="1" customWidth="1"/>
    <col min="1257" max="1259" width="20.28515625" style="220" customWidth="1"/>
    <col min="1260" max="1260" width="20.28515625" style="220" bestFit="1" customWidth="1"/>
    <col min="1261" max="1261" width="15.42578125" style="220" customWidth="1"/>
    <col min="1262" max="1262" width="20.7109375" style="220" bestFit="1" customWidth="1"/>
    <col min="1263" max="1265" width="20.7109375" style="220" customWidth="1"/>
    <col min="1266" max="1266" width="20.7109375" style="220" bestFit="1" customWidth="1"/>
    <col min="1267" max="1267" width="12.140625" style="220" customWidth="1"/>
    <col min="1268" max="1496" width="8.7109375" style="220" customWidth="1"/>
    <col min="1497" max="1497" width="7.28515625" style="220" customWidth="1"/>
    <col min="1498" max="1498" width="18.28515625" style="220" customWidth="1"/>
    <col min="1499" max="1499" width="23.42578125" style="220" bestFit="1" customWidth="1"/>
    <col min="1500" max="1501" width="10.140625" style="220" bestFit="1" customWidth="1"/>
    <col min="1502" max="1504" width="10.140625" style="220" customWidth="1"/>
    <col min="1505" max="1505" width="16.28515625" style="220" customWidth="1"/>
    <col min="1506" max="1506" width="20.28515625" style="220" bestFit="1" customWidth="1"/>
    <col min="1507" max="1509" width="20.28515625" style="220" customWidth="1"/>
    <col min="1510" max="1510" width="20.28515625" style="220" bestFit="1" customWidth="1"/>
    <col min="1511" max="1511" width="15.42578125" style="220" customWidth="1"/>
    <col min="1512" max="1512" width="20.28515625" style="220" bestFit="1" customWidth="1"/>
    <col min="1513" max="1515" width="20.28515625" style="220" customWidth="1"/>
    <col min="1516" max="1516" width="20.28515625" style="220" bestFit="1" customWidth="1"/>
    <col min="1517" max="1517" width="15.42578125" style="220" customWidth="1"/>
    <col min="1518" max="1518" width="20.7109375" style="220" bestFit="1" customWidth="1"/>
    <col min="1519" max="1521" width="20.7109375" style="220" customWidth="1"/>
    <col min="1522" max="1522" width="20.7109375" style="220" bestFit="1" customWidth="1"/>
    <col min="1523" max="1523" width="12.140625" style="220" customWidth="1"/>
    <col min="1524" max="1752" width="8.7109375" style="220" customWidth="1"/>
    <col min="1753" max="1753" width="7.28515625" style="220" customWidth="1"/>
    <col min="1754" max="1754" width="18.28515625" style="220" customWidth="1"/>
    <col min="1755" max="1755" width="23.42578125" style="220" bestFit="1" customWidth="1"/>
    <col min="1756" max="1757" width="10.140625" style="220" bestFit="1" customWidth="1"/>
    <col min="1758" max="1760" width="10.140625" style="220" customWidth="1"/>
    <col min="1761" max="1761" width="16.28515625" style="220" customWidth="1"/>
    <col min="1762" max="1762" width="20.28515625" style="220" bestFit="1" customWidth="1"/>
    <col min="1763" max="1765" width="20.28515625" style="220" customWidth="1"/>
    <col min="1766" max="1766" width="20.28515625" style="220" bestFit="1" customWidth="1"/>
    <col min="1767" max="1767" width="15.42578125" style="220" customWidth="1"/>
    <col min="1768" max="1768" width="20.28515625" style="220" bestFit="1" customWidth="1"/>
    <col min="1769" max="1771" width="20.28515625" style="220" customWidth="1"/>
    <col min="1772" max="1772" width="20.28515625" style="220" bestFit="1" customWidth="1"/>
    <col min="1773" max="1773" width="15.42578125" style="220" customWidth="1"/>
    <col min="1774" max="1774" width="20.7109375" style="220" bestFit="1" customWidth="1"/>
    <col min="1775" max="1777" width="20.7109375" style="220" customWidth="1"/>
    <col min="1778" max="1778" width="20.7109375" style="220" bestFit="1" customWidth="1"/>
    <col min="1779" max="1779" width="12.140625" style="220" customWidth="1"/>
    <col min="1780" max="2008" width="8.7109375" style="220" customWidth="1"/>
    <col min="2009" max="2009" width="7.28515625" style="220" customWidth="1"/>
    <col min="2010" max="2010" width="18.28515625" style="220" customWidth="1"/>
    <col min="2011" max="2011" width="23.42578125" style="220" bestFit="1" customWidth="1"/>
    <col min="2012" max="2013" width="10.140625" style="220" bestFit="1" customWidth="1"/>
    <col min="2014" max="2016" width="10.140625" style="220" customWidth="1"/>
    <col min="2017" max="2017" width="16.28515625" style="220" customWidth="1"/>
    <col min="2018" max="2018" width="20.28515625" style="220" bestFit="1" customWidth="1"/>
    <col min="2019" max="2021" width="20.28515625" style="220" customWidth="1"/>
    <col min="2022" max="2022" width="20.28515625" style="220" bestFit="1" customWidth="1"/>
    <col min="2023" max="2023" width="15.42578125" style="220" customWidth="1"/>
    <col min="2024" max="2024" width="20.28515625" style="220" bestFit="1" customWidth="1"/>
    <col min="2025" max="2027" width="20.28515625" style="220" customWidth="1"/>
    <col min="2028" max="2028" width="20.28515625" style="220" bestFit="1" customWidth="1"/>
    <col min="2029" max="2029" width="15.42578125" style="220" customWidth="1"/>
    <col min="2030" max="2030" width="20.7109375" style="220" bestFit="1" customWidth="1"/>
    <col min="2031" max="2033" width="20.7109375" style="220" customWidth="1"/>
    <col min="2034" max="2034" width="20.7109375" style="220" bestFit="1" customWidth="1"/>
    <col min="2035" max="2035" width="12.140625" style="220" customWidth="1"/>
    <col min="2036" max="2264" width="8.7109375" style="220" customWidth="1"/>
    <col min="2265" max="2265" width="7.28515625" style="220" customWidth="1"/>
    <col min="2266" max="2266" width="18.28515625" style="220" customWidth="1"/>
    <col min="2267" max="2267" width="23.42578125" style="220" bestFit="1" customWidth="1"/>
    <col min="2268" max="2269" width="10.140625" style="220" bestFit="1" customWidth="1"/>
    <col min="2270" max="2272" width="10.140625" style="220" customWidth="1"/>
    <col min="2273" max="2273" width="16.28515625" style="220" customWidth="1"/>
    <col min="2274" max="2274" width="20.28515625" style="220" bestFit="1" customWidth="1"/>
    <col min="2275" max="2277" width="20.28515625" style="220" customWidth="1"/>
    <col min="2278" max="2278" width="20.28515625" style="220" bestFit="1" customWidth="1"/>
    <col min="2279" max="2279" width="15.42578125" style="220" customWidth="1"/>
    <col min="2280" max="2280" width="20.28515625" style="220" bestFit="1" customWidth="1"/>
    <col min="2281" max="2283" width="20.28515625" style="220" customWidth="1"/>
    <col min="2284" max="2284" width="20.28515625" style="220" bestFit="1" customWidth="1"/>
    <col min="2285" max="2285" width="15.42578125" style="220" customWidth="1"/>
    <col min="2286" max="2286" width="20.7109375" style="220" bestFit="1" customWidth="1"/>
    <col min="2287" max="2289" width="20.7109375" style="220" customWidth="1"/>
    <col min="2290" max="2290" width="20.7109375" style="220" bestFit="1" customWidth="1"/>
    <col min="2291" max="2291" width="12.140625" style="220" customWidth="1"/>
    <col min="2292" max="2520" width="8.7109375" style="220" customWidth="1"/>
    <col min="2521" max="2521" width="7.28515625" style="220" customWidth="1"/>
    <col min="2522" max="2522" width="18.28515625" style="220" customWidth="1"/>
    <col min="2523" max="2523" width="23.42578125" style="220" bestFit="1" customWidth="1"/>
    <col min="2524" max="2525" width="10.140625" style="220" bestFit="1" customWidth="1"/>
    <col min="2526" max="2528" width="10.140625" style="220" customWidth="1"/>
    <col min="2529" max="2529" width="16.28515625" style="220" customWidth="1"/>
    <col min="2530" max="2530" width="20.28515625" style="220" bestFit="1" customWidth="1"/>
    <col min="2531" max="2533" width="20.28515625" style="220" customWidth="1"/>
    <col min="2534" max="2534" width="20.28515625" style="220" bestFit="1" customWidth="1"/>
    <col min="2535" max="2535" width="15.42578125" style="220" customWidth="1"/>
    <col min="2536" max="2536" width="20.28515625" style="220" bestFit="1" customWidth="1"/>
    <col min="2537" max="2539" width="20.28515625" style="220" customWidth="1"/>
    <col min="2540" max="2540" width="20.28515625" style="220" bestFit="1" customWidth="1"/>
    <col min="2541" max="2541" width="15.42578125" style="220" customWidth="1"/>
    <col min="2542" max="2542" width="20.7109375" style="220" bestFit="1" customWidth="1"/>
    <col min="2543" max="2545" width="20.7109375" style="220" customWidth="1"/>
    <col min="2546" max="2546" width="20.7109375" style="220" bestFit="1" customWidth="1"/>
    <col min="2547" max="2547" width="12.140625" style="220" customWidth="1"/>
    <col min="2548" max="2776" width="8.7109375" style="220" customWidth="1"/>
    <col min="2777" max="2777" width="7.28515625" style="220" customWidth="1"/>
    <col min="2778" max="2778" width="18.28515625" style="220" customWidth="1"/>
    <col min="2779" max="2779" width="23.42578125" style="220" bestFit="1" customWidth="1"/>
    <col min="2780" max="2781" width="10.140625" style="220" bestFit="1" customWidth="1"/>
    <col min="2782" max="2784" width="10.140625" style="220" customWidth="1"/>
    <col min="2785" max="2785" width="16.28515625" style="220" customWidth="1"/>
    <col min="2786" max="2786" width="20.28515625" style="220" bestFit="1" customWidth="1"/>
    <col min="2787" max="2789" width="20.28515625" style="220" customWidth="1"/>
    <col min="2790" max="2790" width="20.28515625" style="220" bestFit="1" customWidth="1"/>
    <col min="2791" max="2791" width="15.42578125" style="220" customWidth="1"/>
    <col min="2792" max="2792" width="20.28515625" style="220" bestFit="1" customWidth="1"/>
    <col min="2793" max="2795" width="20.28515625" style="220" customWidth="1"/>
    <col min="2796" max="2796" width="20.28515625" style="220" bestFit="1" customWidth="1"/>
    <col min="2797" max="2797" width="15.42578125" style="220" customWidth="1"/>
    <col min="2798" max="2798" width="20.7109375" style="220" bestFit="1" customWidth="1"/>
    <col min="2799" max="2801" width="20.7109375" style="220" customWidth="1"/>
    <col min="2802" max="2802" width="20.7109375" style="220" bestFit="1" customWidth="1"/>
    <col min="2803" max="2803" width="12.140625" style="220" customWidth="1"/>
    <col min="2804" max="3032" width="8.7109375" style="220" customWidth="1"/>
    <col min="3033" max="3033" width="7.28515625" style="220" customWidth="1"/>
    <col min="3034" max="3034" width="18.28515625" style="220" customWidth="1"/>
    <col min="3035" max="3035" width="23.42578125" style="220" bestFit="1" customWidth="1"/>
    <col min="3036" max="3037" width="10.140625" style="220" bestFit="1" customWidth="1"/>
    <col min="3038" max="3040" width="10.140625" style="220" customWidth="1"/>
    <col min="3041" max="3041" width="16.28515625" style="220" customWidth="1"/>
    <col min="3042" max="3042" width="20.28515625" style="220" bestFit="1" customWidth="1"/>
    <col min="3043" max="3045" width="20.28515625" style="220" customWidth="1"/>
    <col min="3046" max="3046" width="20.28515625" style="220" bestFit="1" customWidth="1"/>
    <col min="3047" max="3047" width="15.42578125" style="220" customWidth="1"/>
    <col min="3048" max="3048" width="20.28515625" style="220" bestFit="1" customWidth="1"/>
    <col min="3049" max="3051" width="20.28515625" style="220" customWidth="1"/>
    <col min="3052" max="3052" width="20.28515625" style="220" bestFit="1" customWidth="1"/>
    <col min="3053" max="3053" width="15.42578125" style="220" customWidth="1"/>
    <col min="3054" max="3054" width="20.7109375" style="220" bestFit="1" customWidth="1"/>
    <col min="3055" max="3057" width="20.7109375" style="220" customWidth="1"/>
    <col min="3058" max="3058" width="20.7109375" style="220" bestFit="1" customWidth="1"/>
    <col min="3059" max="3059" width="12.140625" style="220" customWidth="1"/>
    <col min="3060" max="3288" width="8.7109375" style="220" customWidth="1"/>
    <col min="3289" max="3289" width="7.28515625" style="220" customWidth="1"/>
    <col min="3290" max="3290" width="18.28515625" style="220" customWidth="1"/>
    <col min="3291" max="3291" width="23.42578125" style="220" bestFit="1" customWidth="1"/>
    <col min="3292" max="3293" width="10.140625" style="220" bestFit="1" customWidth="1"/>
    <col min="3294" max="3296" width="10.140625" style="220" customWidth="1"/>
    <col min="3297" max="3297" width="16.28515625" style="220" customWidth="1"/>
    <col min="3298" max="3298" width="20.28515625" style="220" bestFit="1" customWidth="1"/>
    <col min="3299" max="3301" width="20.28515625" style="220" customWidth="1"/>
    <col min="3302" max="3302" width="20.28515625" style="220" bestFit="1" customWidth="1"/>
    <col min="3303" max="3303" width="15.42578125" style="220" customWidth="1"/>
    <col min="3304" max="3304" width="20.28515625" style="220" bestFit="1" customWidth="1"/>
    <col min="3305" max="3307" width="20.28515625" style="220" customWidth="1"/>
    <col min="3308" max="3308" width="20.28515625" style="220" bestFit="1" customWidth="1"/>
    <col min="3309" max="3309" width="15.42578125" style="220" customWidth="1"/>
    <col min="3310" max="3310" width="20.7109375" style="220" bestFit="1" customWidth="1"/>
    <col min="3311" max="3313" width="20.7109375" style="220" customWidth="1"/>
    <col min="3314" max="3314" width="20.7109375" style="220" bestFit="1" customWidth="1"/>
    <col min="3315" max="3315" width="12.140625" style="220" customWidth="1"/>
    <col min="3316" max="3544" width="8.7109375" style="220" customWidth="1"/>
    <col min="3545" max="3545" width="7.28515625" style="220" customWidth="1"/>
    <col min="3546" max="3546" width="18.28515625" style="220" customWidth="1"/>
    <col min="3547" max="3547" width="23.42578125" style="220" bestFit="1" customWidth="1"/>
    <col min="3548" max="3549" width="10.140625" style="220" bestFit="1" customWidth="1"/>
    <col min="3550" max="3552" width="10.140625" style="220" customWidth="1"/>
    <col min="3553" max="3553" width="16.28515625" style="220" customWidth="1"/>
    <col min="3554" max="3554" width="20.28515625" style="220" bestFit="1" customWidth="1"/>
    <col min="3555" max="3557" width="20.28515625" style="220" customWidth="1"/>
    <col min="3558" max="3558" width="20.28515625" style="220" bestFit="1" customWidth="1"/>
    <col min="3559" max="3559" width="15.42578125" style="220" customWidth="1"/>
    <col min="3560" max="3560" width="20.28515625" style="220" bestFit="1" customWidth="1"/>
    <col min="3561" max="3563" width="20.28515625" style="220" customWidth="1"/>
    <col min="3564" max="3564" width="20.28515625" style="220" bestFit="1" customWidth="1"/>
    <col min="3565" max="3565" width="15.42578125" style="220" customWidth="1"/>
    <col min="3566" max="3566" width="20.7109375" style="220" bestFit="1" customWidth="1"/>
    <col min="3567" max="3569" width="20.7109375" style="220" customWidth="1"/>
    <col min="3570" max="3570" width="20.7109375" style="220" bestFit="1" customWidth="1"/>
    <col min="3571" max="3571" width="12.140625" style="220" customWidth="1"/>
    <col min="3572" max="3800" width="8.7109375" style="220" customWidth="1"/>
    <col min="3801" max="3801" width="7.28515625" style="220" customWidth="1"/>
    <col min="3802" max="3802" width="18.28515625" style="220" customWidth="1"/>
    <col min="3803" max="3803" width="23.42578125" style="220" bestFit="1" customWidth="1"/>
    <col min="3804" max="3805" width="10.140625" style="220" bestFit="1" customWidth="1"/>
    <col min="3806" max="3808" width="10.140625" style="220" customWidth="1"/>
    <col min="3809" max="3809" width="16.28515625" style="220" customWidth="1"/>
    <col min="3810" max="3810" width="20.28515625" style="220" bestFit="1" customWidth="1"/>
    <col min="3811" max="3813" width="20.28515625" style="220" customWidth="1"/>
    <col min="3814" max="3814" width="20.28515625" style="220" bestFit="1" customWidth="1"/>
    <col min="3815" max="3815" width="15.42578125" style="220" customWidth="1"/>
    <col min="3816" max="3816" width="20.28515625" style="220" bestFit="1" customWidth="1"/>
    <col min="3817" max="3819" width="20.28515625" style="220" customWidth="1"/>
    <col min="3820" max="3820" width="20.28515625" style="220" bestFit="1" customWidth="1"/>
    <col min="3821" max="3821" width="15.42578125" style="220" customWidth="1"/>
    <col min="3822" max="3822" width="20.7109375" style="220" bestFit="1" customWidth="1"/>
    <col min="3823" max="3825" width="20.7109375" style="220" customWidth="1"/>
    <col min="3826" max="3826" width="20.7109375" style="220" bestFit="1" customWidth="1"/>
    <col min="3827" max="3827" width="12.140625" style="220" customWidth="1"/>
    <col min="3828" max="4056" width="8.7109375" style="220" customWidth="1"/>
    <col min="4057" max="4057" width="7.28515625" style="220" customWidth="1"/>
    <col min="4058" max="4058" width="18.28515625" style="220" customWidth="1"/>
    <col min="4059" max="4059" width="23.42578125" style="220" bestFit="1" customWidth="1"/>
    <col min="4060" max="4061" width="10.140625" style="220" bestFit="1" customWidth="1"/>
    <col min="4062" max="4064" width="10.140625" style="220" customWidth="1"/>
    <col min="4065" max="4065" width="16.28515625" style="220" customWidth="1"/>
    <col min="4066" max="4066" width="20.28515625" style="220" bestFit="1" customWidth="1"/>
    <col min="4067" max="4069" width="20.28515625" style="220" customWidth="1"/>
    <col min="4070" max="4070" width="20.28515625" style="220" bestFit="1" customWidth="1"/>
    <col min="4071" max="4071" width="15.42578125" style="220" customWidth="1"/>
    <col min="4072" max="4072" width="20.28515625" style="220" bestFit="1" customWidth="1"/>
    <col min="4073" max="4075" width="20.28515625" style="220" customWidth="1"/>
    <col min="4076" max="4076" width="20.28515625" style="220" bestFit="1" customWidth="1"/>
    <col min="4077" max="4077" width="15.42578125" style="220" customWidth="1"/>
    <col min="4078" max="4078" width="20.7109375" style="220" bestFit="1" customWidth="1"/>
    <col min="4079" max="4081" width="20.7109375" style="220" customWidth="1"/>
    <col min="4082" max="4082" width="20.7109375" style="220" bestFit="1" customWidth="1"/>
    <col min="4083" max="4083" width="12.140625" style="220" customWidth="1"/>
    <col min="4084" max="4312" width="8.7109375" style="220" customWidth="1"/>
    <col min="4313" max="4313" width="7.28515625" style="220" customWidth="1"/>
    <col min="4314" max="4314" width="18.28515625" style="220" customWidth="1"/>
    <col min="4315" max="4315" width="23.42578125" style="220" bestFit="1" customWidth="1"/>
    <col min="4316" max="4317" width="10.140625" style="220" bestFit="1" customWidth="1"/>
    <col min="4318" max="4320" width="10.140625" style="220" customWidth="1"/>
    <col min="4321" max="4321" width="16.28515625" style="220" customWidth="1"/>
    <col min="4322" max="4322" width="20.28515625" style="220" bestFit="1" customWidth="1"/>
    <col min="4323" max="4325" width="20.28515625" style="220" customWidth="1"/>
    <col min="4326" max="4326" width="20.28515625" style="220" bestFit="1" customWidth="1"/>
    <col min="4327" max="4327" width="15.42578125" style="220" customWidth="1"/>
    <col min="4328" max="4328" width="20.28515625" style="220" bestFit="1" customWidth="1"/>
    <col min="4329" max="4331" width="20.28515625" style="220" customWidth="1"/>
    <col min="4332" max="4332" width="20.28515625" style="220" bestFit="1" customWidth="1"/>
    <col min="4333" max="4333" width="15.42578125" style="220" customWidth="1"/>
    <col min="4334" max="4334" width="20.7109375" style="220" bestFit="1" customWidth="1"/>
    <col min="4335" max="4337" width="20.7109375" style="220" customWidth="1"/>
    <col min="4338" max="4338" width="20.7109375" style="220" bestFit="1" customWidth="1"/>
    <col min="4339" max="4339" width="12.140625" style="220" customWidth="1"/>
    <col min="4340" max="4568" width="8.7109375" style="220" customWidth="1"/>
    <col min="4569" max="4569" width="7.28515625" style="220" customWidth="1"/>
    <col min="4570" max="4570" width="18.28515625" style="220" customWidth="1"/>
    <col min="4571" max="4571" width="23.42578125" style="220" bestFit="1" customWidth="1"/>
    <col min="4572" max="4573" width="10.140625" style="220" bestFit="1" customWidth="1"/>
    <col min="4574" max="4576" width="10.140625" style="220" customWidth="1"/>
    <col min="4577" max="4577" width="16.28515625" style="220" customWidth="1"/>
    <col min="4578" max="4578" width="20.28515625" style="220" bestFit="1" customWidth="1"/>
    <col min="4579" max="4581" width="20.28515625" style="220" customWidth="1"/>
    <col min="4582" max="4582" width="20.28515625" style="220" bestFit="1" customWidth="1"/>
    <col min="4583" max="4583" width="15.42578125" style="220" customWidth="1"/>
    <col min="4584" max="4584" width="20.28515625" style="220" bestFit="1" customWidth="1"/>
    <col min="4585" max="4587" width="20.28515625" style="220" customWidth="1"/>
    <col min="4588" max="4588" width="20.28515625" style="220" bestFit="1" customWidth="1"/>
    <col min="4589" max="4589" width="15.42578125" style="220" customWidth="1"/>
    <col min="4590" max="4590" width="20.7109375" style="220" bestFit="1" customWidth="1"/>
    <col min="4591" max="4593" width="20.7109375" style="220" customWidth="1"/>
    <col min="4594" max="4594" width="20.7109375" style="220" bestFit="1" customWidth="1"/>
    <col min="4595" max="4595" width="12.140625" style="220" customWidth="1"/>
    <col min="4596" max="4824" width="8.7109375" style="220" customWidth="1"/>
    <col min="4825" max="4825" width="7.28515625" style="220" customWidth="1"/>
    <col min="4826" max="4826" width="18.28515625" style="220" customWidth="1"/>
    <col min="4827" max="4827" width="23.42578125" style="220" bestFit="1" customWidth="1"/>
    <col min="4828" max="4829" width="10.140625" style="220" bestFit="1" customWidth="1"/>
    <col min="4830" max="4832" width="10.140625" style="220" customWidth="1"/>
    <col min="4833" max="4833" width="16.28515625" style="220" customWidth="1"/>
    <col min="4834" max="4834" width="20.28515625" style="220" bestFit="1" customWidth="1"/>
    <col min="4835" max="4837" width="20.28515625" style="220" customWidth="1"/>
    <col min="4838" max="4838" width="20.28515625" style="220" bestFit="1" customWidth="1"/>
    <col min="4839" max="4839" width="15.42578125" style="220" customWidth="1"/>
    <col min="4840" max="4840" width="20.28515625" style="220" bestFit="1" customWidth="1"/>
    <col min="4841" max="4843" width="20.28515625" style="220" customWidth="1"/>
    <col min="4844" max="4844" width="20.28515625" style="220" bestFit="1" customWidth="1"/>
    <col min="4845" max="4845" width="15.42578125" style="220" customWidth="1"/>
    <col min="4846" max="4846" width="20.7109375" style="220" bestFit="1" customWidth="1"/>
    <col min="4847" max="4849" width="20.7109375" style="220" customWidth="1"/>
    <col min="4850" max="4850" width="20.7109375" style="220" bestFit="1" customWidth="1"/>
    <col min="4851" max="4851" width="12.140625" style="220" customWidth="1"/>
    <col min="4852" max="5080" width="8.7109375" style="220" customWidth="1"/>
    <col min="5081" max="5081" width="7.28515625" style="220" customWidth="1"/>
    <col min="5082" max="5082" width="18.28515625" style="220" customWidth="1"/>
    <col min="5083" max="5083" width="23.42578125" style="220" bestFit="1" customWidth="1"/>
    <col min="5084" max="5085" width="10.140625" style="220" bestFit="1" customWidth="1"/>
    <col min="5086" max="5088" width="10.140625" style="220" customWidth="1"/>
    <col min="5089" max="5089" width="16.28515625" style="220" customWidth="1"/>
    <col min="5090" max="5090" width="20.28515625" style="220" bestFit="1" customWidth="1"/>
    <col min="5091" max="5093" width="20.28515625" style="220" customWidth="1"/>
    <col min="5094" max="5094" width="20.28515625" style="220" bestFit="1" customWidth="1"/>
    <col min="5095" max="5095" width="15.42578125" style="220" customWidth="1"/>
    <col min="5096" max="5096" width="20.28515625" style="220" bestFit="1" customWidth="1"/>
    <col min="5097" max="5099" width="20.28515625" style="220" customWidth="1"/>
    <col min="5100" max="5100" width="20.28515625" style="220" bestFit="1" customWidth="1"/>
    <col min="5101" max="5101" width="15.42578125" style="220" customWidth="1"/>
    <col min="5102" max="5102" width="20.7109375" style="220" bestFit="1" customWidth="1"/>
    <col min="5103" max="5105" width="20.7109375" style="220" customWidth="1"/>
    <col min="5106" max="5106" width="20.7109375" style="220" bestFit="1" customWidth="1"/>
    <col min="5107" max="5107" width="12.140625" style="220" customWidth="1"/>
    <col min="5108" max="5336" width="8.7109375" style="220" customWidth="1"/>
    <col min="5337" max="5337" width="7.28515625" style="220" customWidth="1"/>
    <col min="5338" max="5338" width="18.28515625" style="220" customWidth="1"/>
    <col min="5339" max="5339" width="23.42578125" style="220" bestFit="1" customWidth="1"/>
    <col min="5340" max="5341" width="10.140625" style="220" bestFit="1" customWidth="1"/>
    <col min="5342" max="5344" width="10.140625" style="220" customWidth="1"/>
    <col min="5345" max="5345" width="16.28515625" style="220" customWidth="1"/>
    <col min="5346" max="5346" width="20.28515625" style="220" bestFit="1" customWidth="1"/>
    <col min="5347" max="5349" width="20.28515625" style="220" customWidth="1"/>
    <col min="5350" max="5350" width="20.28515625" style="220" bestFit="1" customWidth="1"/>
    <col min="5351" max="5351" width="15.42578125" style="220" customWidth="1"/>
    <col min="5352" max="5352" width="20.28515625" style="220" bestFit="1" customWidth="1"/>
    <col min="5353" max="5355" width="20.28515625" style="220" customWidth="1"/>
    <col min="5356" max="5356" width="20.28515625" style="220" bestFit="1" customWidth="1"/>
    <col min="5357" max="5357" width="15.42578125" style="220" customWidth="1"/>
    <col min="5358" max="5358" width="20.7109375" style="220" bestFit="1" customWidth="1"/>
    <col min="5359" max="5361" width="20.7109375" style="220" customWidth="1"/>
    <col min="5362" max="5362" width="20.7109375" style="220" bestFit="1" customWidth="1"/>
    <col min="5363" max="5363" width="12.140625" style="220" customWidth="1"/>
    <col min="5364" max="5592" width="8.7109375" style="220" customWidth="1"/>
    <col min="5593" max="5593" width="7.28515625" style="220" customWidth="1"/>
    <col min="5594" max="5594" width="18.28515625" style="220" customWidth="1"/>
    <col min="5595" max="5595" width="23.42578125" style="220" bestFit="1" customWidth="1"/>
    <col min="5596" max="5597" width="10.140625" style="220" bestFit="1" customWidth="1"/>
    <col min="5598" max="5600" width="10.140625" style="220" customWidth="1"/>
    <col min="5601" max="5601" width="16.28515625" style="220" customWidth="1"/>
    <col min="5602" max="5602" width="20.28515625" style="220" bestFit="1" customWidth="1"/>
    <col min="5603" max="5605" width="20.28515625" style="220" customWidth="1"/>
    <col min="5606" max="5606" width="20.28515625" style="220" bestFit="1" customWidth="1"/>
    <col min="5607" max="5607" width="15.42578125" style="220" customWidth="1"/>
    <col min="5608" max="5608" width="20.28515625" style="220" bestFit="1" customWidth="1"/>
    <col min="5609" max="5611" width="20.28515625" style="220" customWidth="1"/>
    <col min="5612" max="5612" width="20.28515625" style="220" bestFit="1" customWidth="1"/>
    <col min="5613" max="5613" width="15.42578125" style="220" customWidth="1"/>
    <col min="5614" max="5614" width="20.7109375" style="220" bestFit="1" customWidth="1"/>
    <col min="5615" max="5617" width="20.7109375" style="220" customWidth="1"/>
    <col min="5618" max="5618" width="20.7109375" style="220" bestFit="1" customWidth="1"/>
    <col min="5619" max="5619" width="12.140625" style="220" customWidth="1"/>
    <col min="5620" max="5848" width="8.7109375" style="220" customWidth="1"/>
    <col min="5849" max="5849" width="7.28515625" style="220" customWidth="1"/>
    <col min="5850" max="5850" width="18.28515625" style="220" customWidth="1"/>
    <col min="5851" max="5851" width="23.42578125" style="220" bestFit="1" customWidth="1"/>
    <col min="5852" max="5853" width="10.140625" style="220" bestFit="1" customWidth="1"/>
    <col min="5854" max="5856" width="10.140625" style="220" customWidth="1"/>
    <col min="5857" max="5857" width="16.28515625" style="220" customWidth="1"/>
    <col min="5858" max="5858" width="20.28515625" style="220" bestFit="1" customWidth="1"/>
    <col min="5859" max="5861" width="20.28515625" style="220" customWidth="1"/>
    <col min="5862" max="5862" width="20.28515625" style="220" bestFit="1" customWidth="1"/>
    <col min="5863" max="5863" width="15.42578125" style="220" customWidth="1"/>
    <col min="5864" max="5864" width="20.28515625" style="220" bestFit="1" customWidth="1"/>
    <col min="5865" max="5867" width="20.28515625" style="220" customWidth="1"/>
    <col min="5868" max="5868" width="20.28515625" style="220" bestFit="1" customWidth="1"/>
    <col min="5869" max="5869" width="15.42578125" style="220" customWidth="1"/>
    <col min="5870" max="5870" width="20.7109375" style="220" bestFit="1" customWidth="1"/>
    <col min="5871" max="5873" width="20.7109375" style="220" customWidth="1"/>
    <col min="5874" max="5874" width="20.7109375" style="220" bestFit="1" customWidth="1"/>
    <col min="5875" max="5875" width="12.140625" style="220" customWidth="1"/>
    <col min="5876" max="6104" width="8.7109375" style="220" customWidth="1"/>
    <col min="6105" max="6105" width="7.28515625" style="220" customWidth="1"/>
    <col min="6106" max="6106" width="18.28515625" style="220" customWidth="1"/>
    <col min="6107" max="6107" width="23.42578125" style="220" bestFit="1" customWidth="1"/>
    <col min="6108" max="6109" width="10.140625" style="220" bestFit="1" customWidth="1"/>
    <col min="6110" max="6112" width="10.140625" style="220" customWidth="1"/>
    <col min="6113" max="6113" width="16.28515625" style="220" customWidth="1"/>
    <col min="6114" max="6114" width="20.28515625" style="220" bestFit="1" customWidth="1"/>
    <col min="6115" max="6117" width="20.28515625" style="220" customWidth="1"/>
    <col min="6118" max="6118" width="20.28515625" style="220" bestFit="1" customWidth="1"/>
    <col min="6119" max="6119" width="15.42578125" style="220" customWidth="1"/>
    <col min="6120" max="6120" width="20.28515625" style="220" bestFit="1" customWidth="1"/>
    <col min="6121" max="6123" width="20.28515625" style="220" customWidth="1"/>
    <col min="6124" max="6124" width="20.28515625" style="220" bestFit="1" customWidth="1"/>
    <col min="6125" max="6125" width="15.42578125" style="220" customWidth="1"/>
    <col min="6126" max="6126" width="20.7109375" style="220" bestFit="1" customWidth="1"/>
    <col min="6127" max="6129" width="20.7109375" style="220" customWidth="1"/>
    <col min="6130" max="6130" width="20.7109375" style="220" bestFit="1" customWidth="1"/>
    <col min="6131" max="6131" width="12.140625" style="220" customWidth="1"/>
    <col min="6132" max="6360" width="8.7109375" style="220" customWidth="1"/>
    <col min="6361" max="6361" width="7.28515625" style="220" customWidth="1"/>
    <col min="6362" max="6362" width="18.28515625" style="220" customWidth="1"/>
    <col min="6363" max="6363" width="23.42578125" style="220" bestFit="1" customWidth="1"/>
    <col min="6364" max="6365" width="10.140625" style="220" bestFit="1" customWidth="1"/>
    <col min="6366" max="6368" width="10.140625" style="220" customWidth="1"/>
    <col min="6369" max="6369" width="16.28515625" style="220" customWidth="1"/>
    <col min="6370" max="6370" width="20.28515625" style="220" bestFit="1" customWidth="1"/>
    <col min="6371" max="6373" width="20.28515625" style="220" customWidth="1"/>
    <col min="6374" max="6374" width="20.28515625" style="220" bestFit="1" customWidth="1"/>
    <col min="6375" max="6375" width="15.42578125" style="220" customWidth="1"/>
    <col min="6376" max="6376" width="20.28515625" style="220" bestFit="1" customWidth="1"/>
    <col min="6377" max="6379" width="20.28515625" style="220" customWidth="1"/>
    <col min="6380" max="6380" width="20.28515625" style="220" bestFit="1" customWidth="1"/>
    <col min="6381" max="6381" width="15.42578125" style="220" customWidth="1"/>
    <col min="6382" max="6382" width="20.7109375" style="220" bestFit="1" customWidth="1"/>
    <col min="6383" max="6385" width="20.7109375" style="220" customWidth="1"/>
    <col min="6386" max="6386" width="20.7109375" style="220" bestFit="1" customWidth="1"/>
    <col min="6387" max="6387" width="12.140625" style="220" customWidth="1"/>
    <col min="6388" max="6616" width="8.7109375" style="220" customWidth="1"/>
    <col min="6617" max="6617" width="7.28515625" style="220" customWidth="1"/>
    <col min="6618" max="6618" width="18.28515625" style="220" customWidth="1"/>
    <col min="6619" max="6619" width="23.42578125" style="220" bestFit="1" customWidth="1"/>
    <col min="6620" max="6621" width="10.140625" style="220" bestFit="1" customWidth="1"/>
    <col min="6622" max="6624" width="10.140625" style="220" customWidth="1"/>
    <col min="6625" max="6625" width="16.28515625" style="220" customWidth="1"/>
    <col min="6626" max="6626" width="20.28515625" style="220" bestFit="1" customWidth="1"/>
    <col min="6627" max="6629" width="20.28515625" style="220" customWidth="1"/>
    <col min="6630" max="6630" width="20.28515625" style="220" bestFit="1" customWidth="1"/>
    <col min="6631" max="6631" width="15.42578125" style="220" customWidth="1"/>
    <col min="6632" max="6632" width="20.28515625" style="220" bestFit="1" customWidth="1"/>
    <col min="6633" max="6635" width="20.28515625" style="220" customWidth="1"/>
    <col min="6636" max="6636" width="20.28515625" style="220" bestFit="1" customWidth="1"/>
    <col min="6637" max="6637" width="15.42578125" style="220" customWidth="1"/>
    <col min="6638" max="6638" width="20.7109375" style="220" bestFit="1" customWidth="1"/>
    <col min="6639" max="6641" width="20.7109375" style="220" customWidth="1"/>
    <col min="6642" max="6642" width="20.7109375" style="220" bestFit="1" customWidth="1"/>
    <col min="6643" max="6643" width="12.140625" style="220" customWidth="1"/>
    <col min="6644" max="6872" width="8.7109375" style="220" customWidth="1"/>
    <col min="6873" max="6873" width="7.28515625" style="220" customWidth="1"/>
    <col min="6874" max="6874" width="18.28515625" style="220" customWidth="1"/>
    <col min="6875" max="6875" width="23.42578125" style="220" bestFit="1" customWidth="1"/>
    <col min="6876" max="6877" width="10.140625" style="220" bestFit="1" customWidth="1"/>
    <col min="6878" max="6880" width="10.140625" style="220" customWidth="1"/>
    <col min="6881" max="6881" width="16.28515625" style="220" customWidth="1"/>
    <col min="6882" max="6882" width="20.28515625" style="220" bestFit="1" customWidth="1"/>
    <col min="6883" max="6885" width="20.28515625" style="220" customWidth="1"/>
    <col min="6886" max="6886" width="20.28515625" style="220" bestFit="1" customWidth="1"/>
    <col min="6887" max="6887" width="15.42578125" style="220" customWidth="1"/>
    <col min="6888" max="6888" width="20.28515625" style="220" bestFit="1" customWidth="1"/>
    <col min="6889" max="6891" width="20.28515625" style="220" customWidth="1"/>
    <col min="6892" max="6892" width="20.28515625" style="220" bestFit="1" customWidth="1"/>
    <col min="6893" max="6893" width="15.42578125" style="220" customWidth="1"/>
    <col min="6894" max="6894" width="20.7109375" style="220" bestFit="1" customWidth="1"/>
    <col min="6895" max="6897" width="20.7109375" style="220" customWidth="1"/>
    <col min="6898" max="6898" width="20.7109375" style="220" bestFit="1" customWidth="1"/>
    <col min="6899" max="6899" width="12.140625" style="220" customWidth="1"/>
    <col min="6900" max="7128" width="8.7109375" style="220" customWidth="1"/>
    <col min="7129" max="7129" width="7.28515625" style="220" customWidth="1"/>
    <col min="7130" max="7130" width="18.28515625" style="220" customWidth="1"/>
    <col min="7131" max="7131" width="23.42578125" style="220" bestFit="1" customWidth="1"/>
    <col min="7132" max="7133" width="10.140625" style="220" bestFit="1" customWidth="1"/>
    <col min="7134" max="7136" width="10.140625" style="220" customWidth="1"/>
    <col min="7137" max="7137" width="16.28515625" style="220" customWidth="1"/>
    <col min="7138" max="7138" width="20.28515625" style="220" bestFit="1" customWidth="1"/>
    <col min="7139" max="7141" width="20.28515625" style="220" customWidth="1"/>
    <col min="7142" max="7142" width="20.28515625" style="220" bestFit="1" customWidth="1"/>
    <col min="7143" max="7143" width="15.42578125" style="220" customWidth="1"/>
    <col min="7144" max="7144" width="20.28515625" style="220" bestFit="1" customWidth="1"/>
    <col min="7145" max="7147" width="20.28515625" style="220" customWidth="1"/>
    <col min="7148" max="7148" width="20.28515625" style="220" bestFit="1" customWidth="1"/>
    <col min="7149" max="7149" width="15.42578125" style="220" customWidth="1"/>
    <col min="7150" max="7150" width="20.7109375" style="220" bestFit="1" customWidth="1"/>
    <col min="7151" max="7153" width="20.7109375" style="220" customWidth="1"/>
    <col min="7154" max="7154" width="20.7109375" style="220" bestFit="1" customWidth="1"/>
    <col min="7155" max="7155" width="12.140625" style="220" customWidth="1"/>
    <col min="7156" max="7384" width="8.7109375" style="220" customWidth="1"/>
    <col min="7385" max="7385" width="7.28515625" style="220" customWidth="1"/>
    <col min="7386" max="7386" width="18.28515625" style="220" customWidth="1"/>
    <col min="7387" max="7387" width="23.42578125" style="220" bestFit="1" customWidth="1"/>
    <col min="7388" max="7389" width="10.140625" style="220" bestFit="1" customWidth="1"/>
    <col min="7390" max="7392" width="10.140625" style="220" customWidth="1"/>
    <col min="7393" max="7393" width="16.28515625" style="220" customWidth="1"/>
    <col min="7394" max="7394" width="20.28515625" style="220" bestFit="1" customWidth="1"/>
    <col min="7395" max="7397" width="20.28515625" style="220" customWidth="1"/>
    <col min="7398" max="7398" width="20.28515625" style="220" bestFit="1" customWidth="1"/>
    <col min="7399" max="7399" width="15.42578125" style="220" customWidth="1"/>
    <col min="7400" max="7400" width="20.28515625" style="220" bestFit="1" customWidth="1"/>
    <col min="7401" max="7403" width="20.28515625" style="220" customWidth="1"/>
    <col min="7404" max="7404" width="20.28515625" style="220" bestFit="1" customWidth="1"/>
    <col min="7405" max="7405" width="15.42578125" style="220" customWidth="1"/>
    <col min="7406" max="7406" width="20.7109375" style="220" bestFit="1" customWidth="1"/>
    <col min="7407" max="7409" width="20.7109375" style="220" customWidth="1"/>
    <col min="7410" max="7410" width="20.7109375" style="220" bestFit="1" customWidth="1"/>
    <col min="7411" max="7411" width="12.140625" style="220" customWidth="1"/>
    <col min="7412" max="7640" width="8.7109375" style="220" customWidth="1"/>
    <col min="7641" max="7641" width="7.28515625" style="220" customWidth="1"/>
    <col min="7642" max="7642" width="18.28515625" style="220" customWidth="1"/>
    <col min="7643" max="7643" width="23.42578125" style="220" bestFit="1" customWidth="1"/>
    <col min="7644" max="7645" width="10.140625" style="220" bestFit="1" customWidth="1"/>
    <col min="7646" max="7648" width="10.140625" style="220" customWidth="1"/>
    <col min="7649" max="7649" width="16.28515625" style="220" customWidth="1"/>
    <col min="7650" max="7650" width="20.28515625" style="220" bestFit="1" customWidth="1"/>
    <col min="7651" max="7653" width="20.28515625" style="220" customWidth="1"/>
    <col min="7654" max="7654" width="20.28515625" style="220" bestFit="1" customWidth="1"/>
    <col min="7655" max="7655" width="15.42578125" style="220" customWidth="1"/>
    <col min="7656" max="7656" width="20.28515625" style="220" bestFit="1" customWidth="1"/>
    <col min="7657" max="7659" width="20.28515625" style="220" customWidth="1"/>
    <col min="7660" max="7660" width="20.28515625" style="220" bestFit="1" customWidth="1"/>
    <col min="7661" max="7661" width="15.42578125" style="220" customWidth="1"/>
    <col min="7662" max="7662" width="20.7109375" style="220" bestFit="1" customWidth="1"/>
    <col min="7663" max="7665" width="20.7109375" style="220" customWidth="1"/>
    <col min="7666" max="7666" width="20.7109375" style="220" bestFit="1" customWidth="1"/>
    <col min="7667" max="7667" width="12.140625" style="220" customWidth="1"/>
    <col min="7668" max="7896" width="8.7109375" style="220" customWidth="1"/>
    <col min="7897" max="7897" width="7.28515625" style="220" customWidth="1"/>
    <col min="7898" max="7898" width="18.28515625" style="220" customWidth="1"/>
    <col min="7899" max="7899" width="23.42578125" style="220" bestFit="1" customWidth="1"/>
    <col min="7900" max="7901" width="10.140625" style="220" bestFit="1" customWidth="1"/>
    <col min="7902" max="7904" width="10.140625" style="220" customWidth="1"/>
    <col min="7905" max="7905" width="16.28515625" style="220" customWidth="1"/>
    <col min="7906" max="7906" width="20.28515625" style="220" bestFit="1" customWidth="1"/>
    <col min="7907" max="7909" width="20.28515625" style="220" customWidth="1"/>
    <col min="7910" max="7910" width="20.28515625" style="220" bestFit="1" customWidth="1"/>
    <col min="7911" max="7911" width="15.42578125" style="220" customWidth="1"/>
    <col min="7912" max="7912" width="20.28515625" style="220" bestFit="1" customWidth="1"/>
    <col min="7913" max="7915" width="20.28515625" style="220" customWidth="1"/>
    <col min="7916" max="7916" width="20.28515625" style="220" bestFit="1" customWidth="1"/>
    <col min="7917" max="7917" width="15.42578125" style="220" customWidth="1"/>
    <col min="7918" max="7918" width="20.7109375" style="220" bestFit="1" customWidth="1"/>
    <col min="7919" max="7921" width="20.7109375" style="220" customWidth="1"/>
    <col min="7922" max="7922" width="20.7109375" style="220" bestFit="1" customWidth="1"/>
    <col min="7923" max="7923" width="12.140625" style="220" customWidth="1"/>
    <col min="7924" max="8152" width="8.7109375" style="220" customWidth="1"/>
    <col min="8153" max="8153" width="7.28515625" style="220" customWidth="1"/>
    <col min="8154" max="8154" width="18.28515625" style="220" customWidth="1"/>
    <col min="8155" max="8155" width="23.42578125" style="220" bestFit="1" customWidth="1"/>
    <col min="8156" max="8157" width="10.140625" style="220" bestFit="1" customWidth="1"/>
    <col min="8158" max="8160" width="10.140625" style="220" customWidth="1"/>
    <col min="8161" max="8161" width="16.28515625" style="220" customWidth="1"/>
    <col min="8162" max="8162" width="20.28515625" style="220" bestFit="1" customWidth="1"/>
    <col min="8163" max="8165" width="20.28515625" style="220" customWidth="1"/>
    <col min="8166" max="8166" width="20.28515625" style="220" bestFit="1" customWidth="1"/>
    <col min="8167" max="8167" width="15.42578125" style="220" customWidth="1"/>
    <col min="8168" max="8168" width="20.28515625" style="220" bestFit="1" customWidth="1"/>
    <col min="8169" max="8171" width="20.28515625" style="220" customWidth="1"/>
    <col min="8172" max="8172" width="20.28515625" style="220" bestFit="1" customWidth="1"/>
    <col min="8173" max="8173" width="15.42578125" style="220" customWidth="1"/>
    <col min="8174" max="8174" width="20.7109375" style="220" bestFit="1" customWidth="1"/>
    <col min="8175" max="8177" width="20.7109375" style="220" customWidth="1"/>
    <col min="8178" max="8178" width="20.7109375" style="220" bestFit="1" customWidth="1"/>
    <col min="8179" max="8179" width="12.140625" style="220" customWidth="1"/>
    <col min="8180" max="8408" width="8.7109375" style="220" customWidth="1"/>
    <col min="8409" max="8409" width="7.28515625" style="220" customWidth="1"/>
    <col min="8410" max="8410" width="18.28515625" style="220" customWidth="1"/>
    <col min="8411" max="8411" width="23.42578125" style="220" bestFit="1" customWidth="1"/>
    <col min="8412" max="8413" width="10.140625" style="220" bestFit="1" customWidth="1"/>
    <col min="8414" max="8416" width="10.140625" style="220" customWidth="1"/>
    <col min="8417" max="8417" width="16.28515625" style="220" customWidth="1"/>
    <col min="8418" max="8418" width="20.28515625" style="220" bestFit="1" customWidth="1"/>
    <col min="8419" max="8421" width="20.28515625" style="220" customWidth="1"/>
    <col min="8422" max="8422" width="20.28515625" style="220" bestFit="1" customWidth="1"/>
    <col min="8423" max="8423" width="15.42578125" style="220" customWidth="1"/>
    <col min="8424" max="8424" width="20.28515625" style="220" bestFit="1" customWidth="1"/>
    <col min="8425" max="8427" width="20.28515625" style="220" customWidth="1"/>
    <col min="8428" max="8428" width="20.28515625" style="220" bestFit="1" customWidth="1"/>
    <col min="8429" max="8429" width="15.42578125" style="220" customWidth="1"/>
    <col min="8430" max="8430" width="20.7109375" style="220" bestFit="1" customWidth="1"/>
    <col min="8431" max="8433" width="20.7109375" style="220" customWidth="1"/>
    <col min="8434" max="8434" width="20.7109375" style="220" bestFit="1" customWidth="1"/>
    <col min="8435" max="8435" width="12.140625" style="220" customWidth="1"/>
    <col min="8436" max="8664" width="8.7109375" style="220" customWidth="1"/>
    <col min="8665" max="8665" width="7.28515625" style="220" customWidth="1"/>
    <col min="8666" max="8666" width="18.28515625" style="220" customWidth="1"/>
    <col min="8667" max="8667" width="23.42578125" style="220" bestFit="1" customWidth="1"/>
    <col min="8668" max="8669" width="10.140625" style="220" bestFit="1" customWidth="1"/>
    <col min="8670" max="8672" width="10.140625" style="220" customWidth="1"/>
    <col min="8673" max="8673" width="16.28515625" style="220" customWidth="1"/>
    <col min="8674" max="8674" width="20.28515625" style="220" bestFit="1" customWidth="1"/>
    <col min="8675" max="8677" width="20.28515625" style="220" customWidth="1"/>
    <col min="8678" max="8678" width="20.28515625" style="220" bestFit="1" customWidth="1"/>
    <col min="8679" max="8679" width="15.42578125" style="220" customWidth="1"/>
    <col min="8680" max="8680" width="20.28515625" style="220" bestFit="1" customWidth="1"/>
    <col min="8681" max="8683" width="20.28515625" style="220" customWidth="1"/>
    <col min="8684" max="8684" width="20.28515625" style="220" bestFit="1" customWidth="1"/>
    <col min="8685" max="8685" width="15.42578125" style="220" customWidth="1"/>
    <col min="8686" max="8686" width="20.7109375" style="220" bestFit="1" customWidth="1"/>
    <col min="8687" max="8689" width="20.7109375" style="220" customWidth="1"/>
    <col min="8690" max="8690" width="20.7109375" style="220" bestFit="1" customWidth="1"/>
    <col min="8691" max="8691" width="12.140625" style="220" customWidth="1"/>
    <col min="8692" max="8920" width="8.7109375" style="220" customWidth="1"/>
    <col min="8921" max="8921" width="7.28515625" style="220" customWidth="1"/>
    <col min="8922" max="8922" width="18.28515625" style="220" customWidth="1"/>
    <col min="8923" max="8923" width="23.42578125" style="220" bestFit="1" customWidth="1"/>
    <col min="8924" max="8925" width="10.140625" style="220" bestFit="1" customWidth="1"/>
    <col min="8926" max="8928" width="10.140625" style="220" customWidth="1"/>
    <col min="8929" max="8929" width="16.28515625" style="220" customWidth="1"/>
    <col min="8930" max="8930" width="20.28515625" style="220" bestFit="1" customWidth="1"/>
    <col min="8931" max="8933" width="20.28515625" style="220" customWidth="1"/>
    <col min="8934" max="8934" width="20.28515625" style="220" bestFit="1" customWidth="1"/>
    <col min="8935" max="8935" width="15.42578125" style="220" customWidth="1"/>
    <col min="8936" max="8936" width="20.28515625" style="220" bestFit="1" customWidth="1"/>
    <col min="8937" max="8939" width="20.28515625" style="220" customWidth="1"/>
    <col min="8940" max="8940" width="20.28515625" style="220" bestFit="1" customWidth="1"/>
    <col min="8941" max="8941" width="15.42578125" style="220" customWidth="1"/>
    <col min="8942" max="8942" width="20.7109375" style="220" bestFit="1" customWidth="1"/>
    <col min="8943" max="8945" width="20.7109375" style="220" customWidth="1"/>
    <col min="8946" max="8946" width="20.7109375" style="220" bestFit="1" customWidth="1"/>
    <col min="8947" max="8947" width="12.140625" style="220" customWidth="1"/>
    <col min="8948" max="9176" width="8.7109375" style="220" customWidth="1"/>
    <col min="9177" max="9177" width="7.28515625" style="220" customWidth="1"/>
    <col min="9178" max="9178" width="18.28515625" style="220" customWidth="1"/>
    <col min="9179" max="9179" width="23.42578125" style="220" bestFit="1" customWidth="1"/>
    <col min="9180" max="9181" width="10.140625" style="220" bestFit="1" customWidth="1"/>
    <col min="9182" max="9184" width="10.140625" style="220" customWidth="1"/>
    <col min="9185" max="9185" width="16.28515625" style="220" customWidth="1"/>
    <col min="9186" max="9186" width="20.28515625" style="220" bestFit="1" customWidth="1"/>
    <col min="9187" max="9189" width="20.28515625" style="220" customWidth="1"/>
    <col min="9190" max="9190" width="20.28515625" style="220" bestFit="1" customWidth="1"/>
    <col min="9191" max="9191" width="15.42578125" style="220" customWidth="1"/>
    <col min="9192" max="9192" width="20.28515625" style="220" bestFit="1" customWidth="1"/>
    <col min="9193" max="9195" width="20.28515625" style="220" customWidth="1"/>
    <col min="9196" max="9196" width="20.28515625" style="220" bestFit="1" customWidth="1"/>
    <col min="9197" max="9197" width="15.42578125" style="220" customWidth="1"/>
    <col min="9198" max="9198" width="20.7109375" style="220" bestFit="1" customWidth="1"/>
    <col min="9199" max="9201" width="20.7109375" style="220" customWidth="1"/>
    <col min="9202" max="9202" width="20.7109375" style="220" bestFit="1" customWidth="1"/>
    <col min="9203" max="9203" width="12.140625" style="220" customWidth="1"/>
    <col min="9204" max="9432" width="8.7109375" style="220" customWidth="1"/>
    <col min="9433" max="9433" width="7.28515625" style="220" customWidth="1"/>
    <col min="9434" max="9434" width="18.28515625" style="220" customWidth="1"/>
    <col min="9435" max="9435" width="23.42578125" style="220" bestFit="1" customWidth="1"/>
    <col min="9436" max="9437" width="10.140625" style="220" bestFit="1" customWidth="1"/>
    <col min="9438" max="9440" width="10.140625" style="220" customWidth="1"/>
    <col min="9441" max="9441" width="16.28515625" style="220" customWidth="1"/>
    <col min="9442" max="9442" width="20.28515625" style="220" bestFit="1" customWidth="1"/>
    <col min="9443" max="9445" width="20.28515625" style="220" customWidth="1"/>
    <col min="9446" max="9446" width="20.28515625" style="220" bestFit="1" customWidth="1"/>
    <col min="9447" max="9447" width="15.42578125" style="220" customWidth="1"/>
    <col min="9448" max="9448" width="20.28515625" style="220" bestFit="1" customWidth="1"/>
    <col min="9449" max="9451" width="20.28515625" style="220" customWidth="1"/>
    <col min="9452" max="9452" width="20.28515625" style="220" bestFit="1" customWidth="1"/>
    <col min="9453" max="9453" width="15.42578125" style="220" customWidth="1"/>
    <col min="9454" max="9454" width="20.7109375" style="220" bestFit="1" customWidth="1"/>
    <col min="9455" max="9457" width="20.7109375" style="220" customWidth="1"/>
    <col min="9458" max="9458" width="20.7109375" style="220" bestFit="1" customWidth="1"/>
    <col min="9459" max="9459" width="12.140625" style="220" customWidth="1"/>
    <col min="9460" max="9688" width="8.7109375" style="220" customWidth="1"/>
    <col min="9689" max="9689" width="7.28515625" style="220" customWidth="1"/>
    <col min="9690" max="9690" width="18.28515625" style="220" customWidth="1"/>
    <col min="9691" max="9691" width="23.42578125" style="220" bestFit="1" customWidth="1"/>
    <col min="9692" max="9693" width="10.140625" style="220" bestFit="1" customWidth="1"/>
    <col min="9694" max="9696" width="10.140625" style="220" customWidth="1"/>
    <col min="9697" max="9697" width="16.28515625" style="220" customWidth="1"/>
    <col min="9698" max="9698" width="20.28515625" style="220" bestFit="1" customWidth="1"/>
    <col min="9699" max="9701" width="20.28515625" style="220" customWidth="1"/>
    <col min="9702" max="9702" width="20.28515625" style="220" bestFit="1" customWidth="1"/>
    <col min="9703" max="9703" width="15.42578125" style="220" customWidth="1"/>
    <col min="9704" max="9704" width="20.28515625" style="220" bestFit="1" customWidth="1"/>
    <col min="9705" max="9707" width="20.28515625" style="220" customWidth="1"/>
    <col min="9708" max="9708" width="20.28515625" style="220" bestFit="1" customWidth="1"/>
    <col min="9709" max="9709" width="15.42578125" style="220" customWidth="1"/>
    <col min="9710" max="9710" width="20.7109375" style="220" bestFit="1" customWidth="1"/>
    <col min="9711" max="9713" width="20.7109375" style="220" customWidth="1"/>
    <col min="9714" max="9714" width="20.7109375" style="220" bestFit="1" customWidth="1"/>
    <col min="9715" max="9715" width="12.140625" style="220" customWidth="1"/>
    <col min="9716" max="9944" width="8.7109375" style="220" customWidth="1"/>
    <col min="9945" max="9945" width="7.28515625" style="220" customWidth="1"/>
    <col min="9946" max="9946" width="18.28515625" style="220" customWidth="1"/>
    <col min="9947" max="9947" width="23.42578125" style="220" bestFit="1" customWidth="1"/>
    <col min="9948" max="9949" width="10.140625" style="220" bestFit="1" customWidth="1"/>
    <col min="9950" max="9952" width="10.140625" style="220" customWidth="1"/>
    <col min="9953" max="9953" width="16.28515625" style="220" customWidth="1"/>
    <col min="9954" max="9954" width="20.28515625" style="220" bestFit="1" customWidth="1"/>
    <col min="9955" max="9957" width="20.28515625" style="220" customWidth="1"/>
    <col min="9958" max="9958" width="20.28515625" style="220" bestFit="1" customWidth="1"/>
    <col min="9959" max="9959" width="15.42578125" style="220" customWidth="1"/>
    <col min="9960" max="9960" width="20.28515625" style="220" bestFit="1" customWidth="1"/>
    <col min="9961" max="9963" width="20.28515625" style="220" customWidth="1"/>
    <col min="9964" max="9964" width="20.28515625" style="220" bestFit="1" customWidth="1"/>
    <col min="9965" max="9965" width="15.42578125" style="220" customWidth="1"/>
    <col min="9966" max="9966" width="20.7109375" style="220" bestFit="1" customWidth="1"/>
    <col min="9967" max="9969" width="20.7109375" style="220" customWidth="1"/>
    <col min="9970" max="9970" width="20.7109375" style="220" bestFit="1" customWidth="1"/>
    <col min="9971" max="9971" width="12.140625" style="220" customWidth="1"/>
    <col min="9972" max="10200" width="8.7109375" style="220" customWidth="1"/>
    <col min="10201" max="10201" width="7.28515625" style="220" customWidth="1"/>
    <col min="10202" max="10202" width="18.28515625" style="220" customWidth="1"/>
    <col min="10203" max="10203" width="23.42578125" style="220" bestFit="1" customWidth="1"/>
    <col min="10204" max="10205" width="10.140625" style="220" bestFit="1" customWidth="1"/>
    <col min="10206" max="10208" width="10.140625" style="220" customWidth="1"/>
    <col min="10209" max="10209" width="16.28515625" style="220" customWidth="1"/>
    <col min="10210" max="10210" width="20.28515625" style="220" bestFit="1" customWidth="1"/>
    <col min="10211" max="10213" width="20.28515625" style="220" customWidth="1"/>
    <col min="10214" max="10214" width="20.28515625" style="220" bestFit="1" customWidth="1"/>
    <col min="10215" max="10215" width="15.42578125" style="220" customWidth="1"/>
    <col min="10216" max="10216" width="20.28515625" style="220" bestFit="1" customWidth="1"/>
    <col min="10217" max="10219" width="20.28515625" style="220" customWidth="1"/>
    <col min="10220" max="10220" width="20.28515625" style="220" bestFit="1" customWidth="1"/>
    <col min="10221" max="10221" width="15.42578125" style="220" customWidth="1"/>
    <col min="10222" max="10222" width="20.7109375" style="220" bestFit="1" customWidth="1"/>
    <col min="10223" max="10225" width="20.7109375" style="220" customWidth="1"/>
    <col min="10226" max="10226" width="20.7109375" style="220" bestFit="1" customWidth="1"/>
    <col min="10227" max="10227" width="12.140625" style="220" customWidth="1"/>
    <col min="10228" max="10456" width="8.7109375" style="220" customWidth="1"/>
    <col min="10457" max="10457" width="7.28515625" style="220" customWidth="1"/>
    <col min="10458" max="10458" width="18.28515625" style="220" customWidth="1"/>
    <col min="10459" max="10459" width="23.42578125" style="220" bestFit="1" customWidth="1"/>
    <col min="10460" max="10461" width="10.140625" style="220" bestFit="1" customWidth="1"/>
    <col min="10462" max="10464" width="10.140625" style="220" customWidth="1"/>
    <col min="10465" max="10465" width="16.28515625" style="220" customWidth="1"/>
    <col min="10466" max="10466" width="20.28515625" style="220" bestFit="1" customWidth="1"/>
    <col min="10467" max="10469" width="20.28515625" style="220" customWidth="1"/>
    <col min="10470" max="10470" width="20.28515625" style="220" bestFit="1" customWidth="1"/>
    <col min="10471" max="10471" width="15.42578125" style="220" customWidth="1"/>
    <col min="10472" max="10472" width="20.28515625" style="220" bestFit="1" customWidth="1"/>
    <col min="10473" max="10475" width="20.28515625" style="220" customWidth="1"/>
    <col min="10476" max="10476" width="20.28515625" style="220" bestFit="1" customWidth="1"/>
    <col min="10477" max="10477" width="15.42578125" style="220" customWidth="1"/>
    <col min="10478" max="10478" width="20.7109375" style="220" bestFit="1" customWidth="1"/>
    <col min="10479" max="10481" width="20.7109375" style="220" customWidth="1"/>
    <col min="10482" max="10482" width="20.7109375" style="220" bestFit="1" customWidth="1"/>
    <col min="10483" max="10483" width="12.140625" style="220" customWidth="1"/>
    <col min="10484" max="10712" width="8.7109375" style="220" customWidth="1"/>
    <col min="10713" max="10713" width="7.28515625" style="220" customWidth="1"/>
    <col min="10714" max="10714" width="18.28515625" style="220" customWidth="1"/>
    <col min="10715" max="10715" width="23.42578125" style="220" bestFit="1" customWidth="1"/>
    <col min="10716" max="10717" width="10.140625" style="220" bestFit="1" customWidth="1"/>
    <col min="10718" max="10720" width="10.140625" style="220" customWidth="1"/>
    <col min="10721" max="10721" width="16.28515625" style="220" customWidth="1"/>
    <col min="10722" max="10722" width="20.28515625" style="220" bestFit="1" customWidth="1"/>
    <col min="10723" max="10725" width="20.28515625" style="220" customWidth="1"/>
    <col min="10726" max="10726" width="20.28515625" style="220" bestFit="1" customWidth="1"/>
    <col min="10727" max="10727" width="15.42578125" style="220" customWidth="1"/>
    <col min="10728" max="10728" width="20.28515625" style="220" bestFit="1" customWidth="1"/>
    <col min="10729" max="10731" width="20.28515625" style="220" customWidth="1"/>
    <col min="10732" max="10732" width="20.28515625" style="220" bestFit="1" customWidth="1"/>
    <col min="10733" max="10733" width="15.42578125" style="220" customWidth="1"/>
    <col min="10734" max="10734" width="20.7109375" style="220" bestFit="1" customWidth="1"/>
    <col min="10735" max="10737" width="20.7109375" style="220" customWidth="1"/>
    <col min="10738" max="10738" width="20.7109375" style="220" bestFit="1" customWidth="1"/>
    <col min="10739" max="10739" width="12.140625" style="220" customWidth="1"/>
    <col min="10740" max="10968" width="8.7109375" style="220" customWidth="1"/>
    <col min="10969" max="10969" width="7.28515625" style="220" customWidth="1"/>
    <col min="10970" max="10970" width="18.28515625" style="220" customWidth="1"/>
    <col min="10971" max="10971" width="23.42578125" style="220" bestFit="1" customWidth="1"/>
    <col min="10972" max="10973" width="10.140625" style="220" bestFit="1" customWidth="1"/>
    <col min="10974" max="10976" width="10.140625" style="220" customWidth="1"/>
    <col min="10977" max="10977" width="16.28515625" style="220" customWidth="1"/>
    <col min="10978" max="10978" width="20.28515625" style="220" bestFit="1" customWidth="1"/>
    <col min="10979" max="10981" width="20.28515625" style="220" customWidth="1"/>
    <col min="10982" max="10982" width="20.28515625" style="220" bestFit="1" customWidth="1"/>
    <col min="10983" max="10983" width="15.42578125" style="220" customWidth="1"/>
    <col min="10984" max="10984" width="20.28515625" style="220" bestFit="1" customWidth="1"/>
    <col min="10985" max="10987" width="20.28515625" style="220" customWidth="1"/>
    <col min="10988" max="10988" width="20.28515625" style="220" bestFit="1" customWidth="1"/>
    <col min="10989" max="10989" width="15.42578125" style="220" customWidth="1"/>
    <col min="10990" max="10990" width="20.7109375" style="220" bestFit="1" customWidth="1"/>
    <col min="10991" max="10993" width="20.7109375" style="220" customWidth="1"/>
    <col min="10994" max="10994" width="20.7109375" style="220" bestFit="1" customWidth="1"/>
    <col min="10995" max="10995" width="12.140625" style="220" customWidth="1"/>
    <col min="10996" max="11224" width="8.7109375" style="220" customWidth="1"/>
    <col min="11225" max="11225" width="7.28515625" style="220" customWidth="1"/>
    <col min="11226" max="11226" width="18.28515625" style="220" customWidth="1"/>
    <col min="11227" max="11227" width="23.42578125" style="220" bestFit="1" customWidth="1"/>
    <col min="11228" max="11229" width="10.140625" style="220" bestFit="1" customWidth="1"/>
    <col min="11230" max="11232" width="10.140625" style="220" customWidth="1"/>
    <col min="11233" max="11233" width="16.28515625" style="220" customWidth="1"/>
    <col min="11234" max="11234" width="20.28515625" style="220" bestFit="1" customWidth="1"/>
    <col min="11235" max="11237" width="20.28515625" style="220" customWidth="1"/>
    <col min="11238" max="11238" width="20.28515625" style="220" bestFit="1" customWidth="1"/>
    <col min="11239" max="11239" width="15.42578125" style="220" customWidth="1"/>
    <col min="11240" max="11240" width="20.28515625" style="220" bestFit="1" customWidth="1"/>
    <col min="11241" max="11243" width="20.28515625" style="220" customWidth="1"/>
    <col min="11244" max="11244" width="20.28515625" style="220" bestFit="1" customWidth="1"/>
    <col min="11245" max="11245" width="15.42578125" style="220" customWidth="1"/>
    <col min="11246" max="11246" width="20.7109375" style="220" bestFit="1" customWidth="1"/>
    <col min="11247" max="11249" width="20.7109375" style="220" customWidth="1"/>
    <col min="11250" max="11250" width="20.7109375" style="220" bestFit="1" customWidth="1"/>
    <col min="11251" max="11251" width="12.140625" style="220" customWidth="1"/>
    <col min="11252" max="11480" width="8.7109375" style="220" customWidth="1"/>
    <col min="11481" max="11481" width="7.28515625" style="220" customWidth="1"/>
    <col min="11482" max="11482" width="18.28515625" style="220" customWidth="1"/>
    <col min="11483" max="11483" width="23.42578125" style="220" bestFit="1" customWidth="1"/>
    <col min="11484" max="11485" width="10.140625" style="220" bestFit="1" customWidth="1"/>
    <col min="11486" max="11488" width="10.140625" style="220" customWidth="1"/>
    <col min="11489" max="11489" width="16.28515625" style="220" customWidth="1"/>
    <col min="11490" max="11490" width="20.28515625" style="220" bestFit="1" customWidth="1"/>
    <col min="11491" max="11493" width="20.28515625" style="220" customWidth="1"/>
    <col min="11494" max="11494" width="20.28515625" style="220" bestFit="1" customWidth="1"/>
    <col min="11495" max="11495" width="15.42578125" style="220" customWidth="1"/>
    <col min="11496" max="11496" width="20.28515625" style="220" bestFit="1" customWidth="1"/>
    <col min="11497" max="11499" width="20.28515625" style="220" customWidth="1"/>
    <col min="11500" max="11500" width="20.28515625" style="220" bestFit="1" customWidth="1"/>
    <col min="11501" max="11501" width="15.42578125" style="220" customWidth="1"/>
    <col min="11502" max="11502" width="20.7109375" style="220" bestFit="1" customWidth="1"/>
    <col min="11503" max="11505" width="20.7109375" style="220" customWidth="1"/>
    <col min="11506" max="11506" width="20.7109375" style="220" bestFit="1" customWidth="1"/>
    <col min="11507" max="11507" width="12.140625" style="220" customWidth="1"/>
    <col min="11508" max="11736" width="8.7109375" style="220" customWidth="1"/>
    <col min="11737" max="11737" width="7.28515625" style="220" customWidth="1"/>
    <col min="11738" max="11738" width="18.28515625" style="220" customWidth="1"/>
    <col min="11739" max="11739" width="23.42578125" style="220" bestFit="1" customWidth="1"/>
    <col min="11740" max="11741" width="10.140625" style="220" bestFit="1" customWidth="1"/>
    <col min="11742" max="11744" width="10.140625" style="220" customWidth="1"/>
    <col min="11745" max="11745" width="16.28515625" style="220" customWidth="1"/>
    <col min="11746" max="11746" width="20.28515625" style="220" bestFit="1" customWidth="1"/>
    <col min="11747" max="11749" width="20.28515625" style="220" customWidth="1"/>
    <col min="11750" max="11750" width="20.28515625" style="220" bestFit="1" customWidth="1"/>
    <col min="11751" max="11751" width="15.42578125" style="220" customWidth="1"/>
    <col min="11752" max="11752" width="20.28515625" style="220" bestFit="1" customWidth="1"/>
    <col min="11753" max="11755" width="20.28515625" style="220" customWidth="1"/>
    <col min="11756" max="11756" width="20.28515625" style="220" bestFit="1" customWidth="1"/>
    <col min="11757" max="11757" width="15.42578125" style="220" customWidth="1"/>
    <col min="11758" max="11758" width="20.7109375" style="220" bestFit="1" customWidth="1"/>
    <col min="11759" max="11761" width="20.7109375" style="220" customWidth="1"/>
    <col min="11762" max="11762" width="20.7109375" style="220" bestFit="1" customWidth="1"/>
    <col min="11763" max="11763" width="12.140625" style="220" customWidth="1"/>
    <col min="11764" max="11992" width="8.7109375" style="220" customWidth="1"/>
    <col min="11993" max="11993" width="7.28515625" style="220" customWidth="1"/>
    <col min="11994" max="11994" width="18.28515625" style="220" customWidth="1"/>
    <col min="11995" max="11995" width="23.42578125" style="220" bestFit="1" customWidth="1"/>
    <col min="11996" max="11997" width="10.140625" style="220" bestFit="1" customWidth="1"/>
    <col min="11998" max="12000" width="10.140625" style="220" customWidth="1"/>
    <col min="12001" max="12001" width="16.28515625" style="220" customWidth="1"/>
    <col min="12002" max="12002" width="20.28515625" style="220" bestFit="1" customWidth="1"/>
    <col min="12003" max="12005" width="20.28515625" style="220" customWidth="1"/>
    <col min="12006" max="12006" width="20.28515625" style="220" bestFit="1" customWidth="1"/>
    <col min="12007" max="12007" width="15.42578125" style="220" customWidth="1"/>
    <col min="12008" max="12008" width="20.28515625" style="220" bestFit="1" customWidth="1"/>
    <col min="12009" max="12011" width="20.28515625" style="220" customWidth="1"/>
    <col min="12012" max="12012" width="20.28515625" style="220" bestFit="1" customWidth="1"/>
    <col min="12013" max="12013" width="15.42578125" style="220" customWidth="1"/>
    <col min="12014" max="12014" width="20.7109375" style="220" bestFit="1" customWidth="1"/>
    <col min="12015" max="12017" width="20.7109375" style="220" customWidth="1"/>
    <col min="12018" max="12018" width="20.7109375" style="220" bestFit="1" customWidth="1"/>
    <col min="12019" max="12019" width="12.140625" style="220" customWidth="1"/>
    <col min="12020" max="12248" width="8.7109375" style="220" customWidth="1"/>
    <col min="12249" max="12249" width="7.28515625" style="220" customWidth="1"/>
    <col min="12250" max="12250" width="18.28515625" style="220" customWidth="1"/>
    <col min="12251" max="12251" width="23.42578125" style="220" bestFit="1" customWidth="1"/>
    <col min="12252" max="12253" width="10.140625" style="220" bestFit="1" customWidth="1"/>
    <col min="12254" max="12256" width="10.140625" style="220" customWidth="1"/>
    <col min="12257" max="12257" width="16.28515625" style="220" customWidth="1"/>
    <col min="12258" max="12258" width="20.28515625" style="220" bestFit="1" customWidth="1"/>
    <col min="12259" max="12261" width="20.28515625" style="220" customWidth="1"/>
    <col min="12262" max="12262" width="20.28515625" style="220" bestFit="1" customWidth="1"/>
    <col min="12263" max="12263" width="15.42578125" style="220" customWidth="1"/>
    <col min="12264" max="12264" width="20.28515625" style="220" bestFit="1" customWidth="1"/>
    <col min="12265" max="12267" width="20.28515625" style="220" customWidth="1"/>
    <col min="12268" max="12268" width="20.28515625" style="220" bestFit="1" customWidth="1"/>
    <col min="12269" max="12269" width="15.42578125" style="220" customWidth="1"/>
    <col min="12270" max="12270" width="20.7109375" style="220" bestFit="1" customWidth="1"/>
    <col min="12271" max="12273" width="20.7109375" style="220" customWidth="1"/>
    <col min="12274" max="12274" width="20.7109375" style="220" bestFit="1" customWidth="1"/>
    <col min="12275" max="12275" width="12.140625" style="220" customWidth="1"/>
    <col min="12276" max="12504" width="8.7109375" style="220" customWidth="1"/>
    <col min="12505" max="12505" width="7.28515625" style="220" customWidth="1"/>
    <col min="12506" max="12506" width="18.28515625" style="220" customWidth="1"/>
    <col min="12507" max="12507" width="23.42578125" style="220" bestFit="1" customWidth="1"/>
    <col min="12508" max="12509" width="10.140625" style="220" bestFit="1" customWidth="1"/>
    <col min="12510" max="12512" width="10.140625" style="220" customWidth="1"/>
    <col min="12513" max="12513" width="16.28515625" style="220" customWidth="1"/>
    <col min="12514" max="12514" width="20.28515625" style="220" bestFit="1" customWidth="1"/>
    <col min="12515" max="12517" width="20.28515625" style="220" customWidth="1"/>
    <col min="12518" max="12518" width="20.28515625" style="220" bestFit="1" customWidth="1"/>
    <col min="12519" max="12519" width="15.42578125" style="220" customWidth="1"/>
    <col min="12520" max="12520" width="20.28515625" style="220" bestFit="1" customWidth="1"/>
    <col min="12521" max="12523" width="20.28515625" style="220" customWidth="1"/>
    <col min="12524" max="12524" width="20.28515625" style="220" bestFit="1" customWidth="1"/>
    <col min="12525" max="12525" width="15.42578125" style="220" customWidth="1"/>
    <col min="12526" max="12526" width="20.7109375" style="220" bestFit="1" customWidth="1"/>
    <col min="12527" max="12529" width="20.7109375" style="220" customWidth="1"/>
    <col min="12530" max="12530" width="20.7109375" style="220" bestFit="1" customWidth="1"/>
    <col min="12531" max="12531" width="12.140625" style="220" customWidth="1"/>
    <col min="12532" max="12760" width="8.7109375" style="220" customWidth="1"/>
    <col min="12761" max="12761" width="7.28515625" style="220" customWidth="1"/>
    <col min="12762" max="12762" width="18.28515625" style="220" customWidth="1"/>
    <col min="12763" max="12763" width="23.42578125" style="220" bestFit="1" customWidth="1"/>
    <col min="12764" max="12765" width="10.140625" style="220" bestFit="1" customWidth="1"/>
    <col min="12766" max="12768" width="10.140625" style="220" customWidth="1"/>
    <col min="12769" max="12769" width="16.28515625" style="220" customWidth="1"/>
    <col min="12770" max="12770" width="20.28515625" style="220" bestFit="1" customWidth="1"/>
    <col min="12771" max="12773" width="20.28515625" style="220" customWidth="1"/>
    <col min="12774" max="12774" width="20.28515625" style="220" bestFit="1" customWidth="1"/>
    <col min="12775" max="12775" width="15.42578125" style="220" customWidth="1"/>
    <col min="12776" max="12776" width="20.28515625" style="220" bestFit="1" customWidth="1"/>
    <col min="12777" max="12779" width="20.28515625" style="220" customWidth="1"/>
    <col min="12780" max="12780" width="20.28515625" style="220" bestFit="1" customWidth="1"/>
    <col min="12781" max="12781" width="15.42578125" style="220" customWidth="1"/>
    <col min="12782" max="12782" width="20.7109375" style="220" bestFit="1" customWidth="1"/>
    <col min="12783" max="12785" width="20.7109375" style="220" customWidth="1"/>
    <col min="12786" max="12786" width="20.7109375" style="220" bestFit="1" customWidth="1"/>
    <col min="12787" max="12787" width="12.140625" style="220" customWidth="1"/>
    <col min="12788" max="13016" width="8.7109375" style="220" customWidth="1"/>
    <col min="13017" max="13017" width="7.28515625" style="220" customWidth="1"/>
    <col min="13018" max="13018" width="18.28515625" style="220" customWidth="1"/>
    <col min="13019" max="13019" width="23.42578125" style="220" bestFit="1" customWidth="1"/>
    <col min="13020" max="13021" width="10.140625" style="220" bestFit="1" customWidth="1"/>
    <col min="13022" max="13024" width="10.140625" style="220" customWidth="1"/>
    <col min="13025" max="13025" width="16.28515625" style="220" customWidth="1"/>
    <col min="13026" max="13026" width="20.28515625" style="220" bestFit="1" customWidth="1"/>
    <col min="13027" max="13029" width="20.28515625" style="220" customWidth="1"/>
    <col min="13030" max="13030" width="20.28515625" style="220" bestFit="1" customWidth="1"/>
    <col min="13031" max="13031" width="15.42578125" style="220" customWidth="1"/>
    <col min="13032" max="13032" width="20.28515625" style="220" bestFit="1" customWidth="1"/>
    <col min="13033" max="13035" width="20.28515625" style="220" customWidth="1"/>
    <col min="13036" max="13036" width="20.28515625" style="220" bestFit="1" customWidth="1"/>
    <col min="13037" max="13037" width="15.42578125" style="220" customWidth="1"/>
    <col min="13038" max="13038" width="20.7109375" style="220" bestFit="1" customWidth="1"/>
    <col min="13039" max="13041" width="20.7109375" style="220" customWidth="1"/>
    <col min="13042" max="13042" width="20.7109375" style="220" bestFit="1" customWidth="1"/>
    <col min="13043" max="13043" width="12.140625" style="220" customWidth="1"/>
    <col min="13044" max="13272" width="8.7109375" style="220" customWidth="1"/>
    <col min="13273" max="13273" width="7.28515625" style="220" customWidth="1"/>
    <col min="13274" max="13274" width="18.28515625" style="220" customWidth="1"/>
    <col min="13275" max="13275" width="23.42578125" style="220" bestFit="1" customWidth="1"/>
    <col min="13276" max="13277" width="10.140625" style="220" bestFit="1" customWidth="1"/>
    <col min="13278" max="13280" width="10.140625" style="220" customWidth="1"/>
    <col min="13281" max="13281" width="16.28515625" style="220" customWidth="1"/>
    <col min="13282" max="13282" width="20.28515625" style="220" bestFit="1" customWidth="1"/>
    <col min="13283" max="13285" width="20.28515625" style="220" customWidth="1"/>
    <col min="13286" max="13286" width="20.28515625" style="220" bestFit="1" customWidth="1"/>
    <col min="13287" max="13287" width="15.42578125" style="220" customWidth="1"/>
    <col min="13288" max="13288" width="20.28515625" style="220" bestFit="1" customWidth="1"/>
    <col min="13289" max="13291" width="20.28515625" style="220" customWidth="1"/>
    <col min="13292" max="13292" width="20.28515625" style="220" bestFit="1" customWidth="1"/>
    <col min="13293" max="13293" width="15.42578125" style="220" customWidth="1"/>
    <col min="13294" max="13294" width="20.7109375" style="220" bestFit="1" customWidth="1"/>
    <col min="13295" max="13297" width="20.7109375" style="220" customWidth="1"/>
    <col min="13298" max="13298" width="20.7109375" style="220" bestFit="1" customWidth="1"/>
    <col min="13299" max="13299" width="12.140625" style="220" customWidth="1"/>
    <col min="13300" max="13528" width="8.7109375" style="220" customWidth="1"/>
    <col min="13529" max="13529" width="7.28515625" style="220" customWidth="1"/>
    <col min="13530" max="13530" width="18.28515625" style="220" customWidth="1"/>
    <col min="13531" max="13531" width="23.42578125" style="220" bestFit="1" customWidth="1"/>
    <col min="13532" max="13533" width="10.140625" style="220" bestFit="1" customWidth="1"/>
    <col min="13534" max="13536" width="10.140625" style="220" customWidth="1"/>
    <col min="13537" max="13537" width="16.28515625" style="220" customWidth="1"/>
    <col min="13538" max="13538" width="20.28515625" style="220" bestFit="1" customWidth="1"/>
    <col min="13539" max="13541" width="20.28515625" style="220" customWidth="1"/>
    <col min="13542" max="13542" width="20.28515625" style="220" bestFit="1" customWidth="1"/>
    <col min="13543" max="13543" width="15.42578125" style="220" customWidth="1"/>
    <col min="13544" max="13544" width="20.28515625" style="220" bestFit="1" customWidth="1"/>
    <col min="13545" max="13547" width="20.28515625" style="220" customWidth="1"/>
    <col min="13548" max="13548" width="20.28515625" style="220" bestFit="1" customWidth="1"/>
    <col min="13549" max="13549" width="15.42578125" style="220" customWidth="1"/>
    <col min="13550" max="13550" width="20.7109375" style="220" bestFit="1" customWidth="1"/>
    <col min="13551" max="13553" width="20.7109375" style="220" customWidth="1"/>
    <col min="13554" max="13554" width="20.7109375" style="220" bestFit="1" customWidth="1"/>
    <col min="13555" max="13555" width="12.140625" style="220" customWidth="1"/>
    <col min="13556" max="13784" width="8.7109375" style="220" customWidth="1"/>
    <col min="13785" max="13785" width="7.28515625" style="220" customWidth="1"/>
    <col min="13786" max="13786" width="18.28515625" style="220" customWidth="1"/>
    <col min="13787" max="13787" width="23.42578125" style="220" bestFit="1" customWidth="1"/>
    <col min="13788" max="13789" width="10.140625" style="220" bestFit="1" customWidth="1"/>
    <col min="13790" max="13792" width="10.140625" style="220" customWidth="1"/>
    <col min="13793" max="13793" width="16.28515625" style="220" customWidth="1"/>
    <col min="13794" max="13794" width="20.28515625" style="220" bestFit="1" customWidth="1"/>
    <col min="13795" max="13797" width="20.28515625" style="220" customWidth="1"/>
    <col min="13798" max="13798" width="20.28515625" style="220" bestFit="1" customWidth="1"/>
    <col min="13799" max="13799" width="15.42578125" style="220" customWidth="1"/>
    <col min="13800" max="13800" width="20.28515625" style="220" bestFit="1" customWidth="1"/>
    <col min="13801" max="13803" width="20.28515625" style="220" customWidth="1"/>
    <col min="13804" max="13804" width="20.28515625" style="220" bestFit="1" customWidth="1"/>
    <col min="13805" max="13805" width="15.42578125" style="220" customWidth="1"/>
    <col min="13806" max="13806" width="20.7109375" style="220" bestFit="1" customWidth="1"/>
    <col min="13807" max="13809" width="20.7109375" style="220" customWidth="1"/>
    <col min="13810" max="13810" width="20.7109375" style="220" bestFit="1" customWidth="1"/>
    <col min="13811" max="13811" width="12.140625" style="220" customWidth="1"/>
    <col min="13812" max="14040" width="8.7109375" style="220" customWidth="1"/>
    <col min="14041" max="14041" width="7.28515625" style="220" customWidth="1"/>
    <col min="14042" max="14042" width="18.28515625" style="220" customWidth="1"/>
    <col min="14043" max="14043" width="23.42578125" style="220" bestFit="1" customWidth="1"/>
    <col min="14044" max="14045" width="10.140625" style="220" bestFit="1" customWidth="1"/>
    <col min="14046" max="14048" width="10.140625" style="220" customWidth="1"/>
    <col min="14049" max="14049" width="16.28515625" style="220" customWidth="1"/>
    <col min="14050" max="14050" width="20.28515625" style="220" bestFit="1" customWidth="1"/>
    <col min="14051" max="14053" width="20.28515625" style="220" customWidth="1"/>
    <col min="14054" max="14054" width="20.28515625" style="220" bestFit="1" customWidth="1"/>
    <col min="14055" max="14055" width="15.42578125" style="220" customWidth="1"/>
    <col min="14056" max="14056" width="20.28515625" style="220" bestFit="1" customWidth="1"/>
    <col min="14057" max="14059" width="20.28515625" style="220" customWidth="1"/>
    <col min="14060" max="14060" width="20.28515625" style="220" bestFit="1" customWidth="1"/>
    <col min="14061" max="14061" width="15.42578125" style="220" customWidth="1"/>
    <col min="14062" max="14062" width="20.7109375" style="220" bestFit="1" customWidth="1"/>
    <col min="14063" max="14065" width="20.7109375" style="220" customWidth="1"/>
    <col min="14066" max="14066" width="20.7109375" style="220" bestFit="1" customWidth="1"/>
    <col min="14067" max="14067" width="12.140625" style="220" customWidth="1"/>
    <col min="14068" max="14296" width="8.7109375" style="220" customWidth="1"/>
    <col min="14297" max="14297" width="7.28515625" style="220" customWidth="1"/>
    <col min="14298" max="14298" width="18.28515625" style="220" customWidth="1"/>
    <col min="14299" max="14299" width="23.42578125" style="220" bestFit="1" customWidth="1"/>
    <col min="14300" max="14301" width="10.140625" style="220" bestFit="1" customWidth="1"/>
    <col min="14302" max="14304" width="10.140625" style="220" customWidth="1"/>
    <col min="14305" max="14305" width="16.28515625" style="220" customWidth="1"/>
    <col min="14306" max="14306" width="20.28515625" style="220" bestFit="1" customWidth="1"/>
    <col min="14307" max="14309" width="20.28515625" style="220" customWidth="1"/>
    <col min="14310" max="14310" width="20.28515625" style="220" bestFit="1" customWidth="1"/>
    <col min="14311" max="14311" width="15.42578125" style="220" customWidth="1"/>
    <col min="14312" max="14312" width="20.28515625" style="220" bestFit="1" customWidth="1"/>
    <col min="14313" max="14315" width="20.28515625" style="220" customWidth="1"/>
    <col min="14316" max="14316" width="20.28515625" style="220" bestFit="1" customWidth="1"/>
    <col min="14317" max="14317" width="15.42578125" style="220" customWidth="1"/>
    <col min="14318" max="14318" width="20.7109375" style="220" bestFit="1" customWidth="1"/>
    <col min="14319" max="14321" width="20.7109375" style="220" customWidth="1"/>
    <col min="14322" max="14322" width="20.7109375" style="220" bestFit="1" customWidth="1"/>
    <col min="14323" max="14323" width="12.140625" style="220" customWidth="1"/>
    <col min="14324" max="14552" width="8.7109375" style="220" customWidth="1"/>
    <col min="14553" max="14553" width="7.28515625" style="220" customWidth="1"/>
    <col min="14554" max="14554" width="18.28515625" style="220" customWidth="1"/>
    <col min="14555" max="14555" width="23.42578125" style="220" bestFit="1" customWidth="1"/>
    <col min="14556" max="14557" width="10.140625" style="220" bestFit="1" customWidth="1"/>
    <col min="14558" max="14560" width="10.140625" style="220" customWidth="1"/>
    <col min="14561" max="14561" width="16.28515625" style="220" customWidth="1"/>
    <col min="14562" max="14562" width="20.28515625" style="220" bestFit="1" customWidth="1"/>
    <col min="14563" max="14565" width="20.28515625" style="220" customWidth="1"/>
    <col min="14566" max="14566" width="20.28515625" style="220" bestFit="1" customWidth="1"/>
    <col min="14567" max="14567" width="15.42578125" style="220" customWidth="1"/>
    <col min="14568" max="14568" width="20.28515625" style="220" bestFit="1" customWidth="1"/>
    <col min="14569" max="14571" width="20.28515625" style="220" customWidth="1"/>
    <col min="14572" max="14572" width="20.28515625" style="220" bestFit="1" customWidth="1"/>
    <col min="14573" max="14573" width="15.42578125" style="220" customWidth="1"/>
    <col min="14574" max="14574" width="20.7109375" style="220" bestFit="1" customWidth="1"/>
    <col min="14575" max="14577" width="20.7109375" style="220" customWidth="1"/>
    <col min="14578" max="14578" width="20.7109375" style="220" bestFit="1" customWidth="1"/>
    <col min="14579" max="14579" width="12.140625" style="220" customWidth="1"/>
    <col min="14580" max="14808" width="8.7109375" style="220" customWidth="1"/>
    <col min="14809" max="14809" width="7.28515625" style="220" customWidth="1"/>
    <col min="14810" max="14810" width="18.28515625" style="220" customWidth="1"/>
    <col min="14811" max="14811" width="23.42578125" style="220" bestFit="1" customWidth="1"/>
    <col min="14812" max="14813" width="10.140625" style="220" bestFit="1" customWidth="1"/>
    <col min="14814" max="14816" width="10.140625" style="220" customWidth="1"/>
    <col min="14817" max="14817" width="16.28515625" style="220" customWidth="1"/>
    <col min="14818" max="14818" width="20.28515625" style="220" bestFit="1" customWidth="1"/>
    <col min="14819" max="14821" width="20.28515625" style="220" customWidth="1"/>
    <col min="14822" max="14822" width="20.28515625" style="220" bestFit="1" customWidth="1"/>
    <col min="14823" max="14823" width="15.42578125" style="220" customWidth="1"/>
    <col min="14824" max="14824" width="20.28515625" style="220" bestFit="1" customWidth="1"/>
    <col min="14825" max="14827" width="20.28515625" style="220" customWidth="1"/>
    <col min="14828" max="14828" width="20.28515625" style="220" bestFit="1" customWidth="1"/>
    <col min="14829" max="14829" width="15.42578125" style="220" customWidth="1"/>
    <col min="14830" max="14830" width="20.7109375" style="220" bestFit="1" customWidth="1"/>
    <col min="14831" max="14833" width="20.7109375" style="220" customWidth="1"/>
    <col min="14834" max="14834" width="20.7109375" style="220" bestFit="1" customWidth="1"/>
    <col min="14835" max="14835" width="12.140625" style="220" customWidth="1"/>
    <col min="14836" max="15064" width="8.7109375" style="220" customWidth="1"/>
    <col min="15065" max="15065" width="7.28515625" style="220" customWidth="1"/>
    <col min="15066" max="15066" width="18.28515625" style="220" customWidth="1"/>
    <col min="15067" max="15067" width="23.42578125" style="220" bestFit="1" customWidth="1"/>
    <col min="15068" max="15069" width="10.140625" style="220" bestFit="1" customWidth="1"/>
    <col min="15070" max="15072" width="10.140625" style="220" customWidth="1"/>
    <col min="15073" max="15073" width="16.28515625" style="220" customWidth="1"/>
    <col min="15074" max="15074" width="20.28515625" style="220" bestFit="1" customWidth="1"/>
    <col min="15075" max="15077" width="20.28515625" style="220" customWidth="1"/>
    <col min="15078" max="15078" width="20.28515625" style="220" bestFit="1" customWidth="1"/>
    <col min="15079" max="15079" width="15.42578125" style="220" customWidth="1"/>
    <col min="15080" max="15080" width="20.28515625" style="220" bestFit="1" customWidth="1"/>
    <col min="15081" max="15083" width="20.28515625" style="220" customWidth="1"/>
    <col min="15084" max="15084" width="20.28515625" style="220" bestFit="1" customWidth="1"/>
    <col min="15085" max="15085" width="15.42578125" style="220" customWidth="1"/>
    <col min="15086" max="15086" width="20.7109375" style="220" bestFit="1" customWidth="1"/>
    <col min="15087" max="15089" width="20.7109375" style="220" customWidth="1"/>
    <col min="15090" max="15090" width="20.7109375" style="220" bestFit="1" customWidth="1"/>
    <col min="15091" max="15091" width="12.140625" style="220" customWidth="1"/>
    <col min="15092" max="15320" width="8.7109375" style="220" customWidth="1"/>
    <col min="15321" max="15321" width="7.28515625" style="220" customWidth="1"/>
    <col min="15322" max="15322" width="18.28515625" style="220" customWidth="1"/>
    <col min="15323" max="15323" width="23.42578125" style="220" bestFit="1" customWidth="1"/>
    <col min="15324" max="15325" width="10.140625" style="220" bestFit="1" customWidth="1"/>
    <col min="15326" max="15328" width="10.140625" style="220" customWidth="1"/>
    <col min="15329" max="15329" width="16.28515625" style="220" customWidth="1"/>
    <col min="15330" max="15330" width="20.28515625" style="220" bestFit="1" customWidth="1"/>
    <col min="15331" max="15333" width="20.28515625" style="220" customWidth="1"/>
    <col min="15334" max="15334" width="20.28515625" style="220" bestFit="1" customWidth="1"/>
    <col min="15335" max="15335" width="15.42578125" style="220" customWidth="1"/>
    <col min="15336" max="15336" width="20.28515625" style="220" bestFit="1" customWidth="1"/>
    <col min="15337" max="15339" width="20.28515625" style="220" customWidth="1"/>
    <col min="15340" max="15340" width="20.28515625" style="220" bestFit="1" customWidth="1"/>
    <col min="15341" max="15341" width="15.42578125" style="220" customWidth="1"/>
    <col min="15342" max="15342" width="20.7109375" style="220" bestFit="1" customWidth="1"/>
    <col min="15343" max="15345" width="20.7109375" style="220" customWidth="1"/>
    <col min="15346" max="15346" width="20.7109375" style="220" bestFit="1" customWidth="1"/>
    <col min="15347" max="15347" width="12.140625" style="220" customWidth="1"/>
    <col min="15348" max="15576" width="8.7109375" style="220" customWidth="1"/>
    <col min="15577" max="15577" width="7.28515625" style="220" customWidth="1"/>
    <col min="15578" max="15578" width="18.28515625" style="220" customWidth="1"/>
    <col min="15579" max="15579" width="23.42578125" style="220" bestFit="1" customWidth="1"/>
    <col min="15580" max="15581" width="10.140625" style="220" bestFit="1" customWidth="1"/>
    <col min="15582" max="15584" width="10.140625" style="220" customWidth="1"/>
    <col min="15585" max="15585" width="16.28515625" style="220" customWidth="1"/>
    <col min="15586" max="15586" width="20.28515625" style="220" bestFit="1" customWidth="1"/>
    <col min="15587" max="15589" width="20.28515625" style="220" customWidth="1"/>
    <col min="15590" max="15590" width="20.28515625" style="220" bestFit="1" customWidth="1"/>
    <col min="15591" max="15591" width="15.42578125" style="220" customWidth="1"/>
    <col min="15592" max="15592" width="20.28515625" style="220" bestFit="1" customWidth="1"/>
    <col min="15593" max="15595" width="20.28515625" style="220" customWidth="1"/>
    <col min="15596" max="15596" width="20.28515625" style="220" bestFit="1" customWidth="1"/>
    <col min="15597" max="15597" width="15.42578125" style="220" customWidth="1"/>
    <col min="15598" max="15598" width="20.7109375" style="220" bestFit="1" customWidth="1"/>
    <col min="15599" max="15601" width="20.7109375" style="220" customWidth="1"/>
    <col min="15602" max="15602" width="20.7109375" style="220" bestFit="1" customWidth="1"/>
    <col min="15603" max="15603" width="12.140625" style="220" customWidth="1"/>
    <col min="15604" max="15832" width="8.7109375" style="220" customWidth="1"/>
    <col min="15833" max="15833" width="7.28515625" style="220" customWidth="1"/>
    <col min="15834" max="15834" width="18.28515625" style="220" customWidth="1"/>
    <col min="15835" max="15835" width="23.42578125" style="220" bestFit="1" customWidth="1"/>
    <col min="15836" max="15837" width="10.140625" style="220" bestFit="1" customWidth="1"/>
    <col min="15838" max="15840" width="10.140625" style="220" customWidth="1"/>
    <col min="15841" max="15841" width="16.28515625" style="220" customWidth="1"/>
    <col min="15842" max="15842" width="20.28515625" style="220" bestFit="1" customWidth="1"/>
    <col min="15843" max="15845" width="20.28515625" style="220" customWidth="1"/>
    <col min="15846" max="15846" width="20.28515625" style="220" bestFit="1" customWidth="1"/>
    <col min="15847" max="15847" width="15.42578125" style="220" customWidth="1"/>
    <col min="15848" max="15848" width="20.28515625" style="220" bestFit="1" customWidth="1"/>
    <col min="15849" max="15851" width="20.28515625" style="220" customWidth="1"/>
    <col min="15852" max="15852" width="20.28515625" style="220" bestFit="1" customWidth="1"/>
    <col min="15853" max="15853" width="15.42578125" style="220" customWidth="1"/>
    <col min="15854" max="15854" width="20.7109375" style="220" bestFit="1" customWidth="1"/>
    <col min="15855" max="15857" width="20.7109375" style="220" customWidth="1"/>
    <col min="15858" max="15858" width="20.7109375" style="220" bestFit="1" customWidth="1"/>
    <col min="15859" max="15859" width="12.140625" style="220" customWidth="1"/>
    <col min="15860" max="16088" width="8.7109375" style="220" customWidth="1"/>
    <col min="16089" max="16089" width="7.28515625" style="220" customWidth="1"/>
    <col min="16090" max="16090" width="18.28515625" style="220" customWidth="1"/>
    <col min="16091" max="16091" width="23.42578125" style="220" bestFit="1" customWidth="1"/>
    <col min="16092" max="16093" width="10.140625" style="220" bestFit="1" customWidth="1"/>
    <col min="16094" max="16096" width="10.140625" style="220" customWidth="1"/>
    <col min="16097" max="16097" width="16.28515625" style="220" customWidth="1"/>
    <col min="16098" max="16098" width="20.28515625" style="220" bestFit="1" customWidth="1"/>
    <col min="16099" max="16101" width="20.28515625" style="220" customWidth="1"/>
    <col min="16102" max="16102" width="20.28515625" style="220" bestFit="1" customWidth="1"/>
    <col min="16103" max="16103" width="15.42578125" style="220" customWidth="1"/>
    <col min="16104" max="16104" width="20.28515625" style="220" bestFit="1" customWidth="1"/>
    <col min="16105" max="16107" width="20.28515625" style="220" customWidth="1"/>
    <col min="16108" max="16108" width="20.28515625" style="220" bestFit="1" customWidth="1"/>
    <col min="16109" max="16109" width="15.42578125" style="220" customWidth="1"/>
    <col min="16110" max="16110" width="20.7109375" style="220" bestFit="1" customWidth="1"/>
    <col min="16111" max="16113" width="20.7109375" style="220" customWidth="1"/>
    <col min="16114" max="16114" width="20.7109375" style="220" bestFit="1" customWidth="1"/>
    <col min="16115" max="16115" width="12.140625" style="220" customWidth="1"/>
    <col min="16116" max="16384" width="8.7109375" style="220" customWidth="1"/>
  </cols>
  <sheetData>
    <row r="1" spans="1:17" s="194" customFormat="1"/>
    <row r="2" spans="1:17" s="194" customFormat="1" ht="13.5" thickBot="1"/>
    <row r="3" spans="1:17" s="194" customFormat="1" ht="13.5" thickBot="1">
      <c r="A3" s="338" t="s">
        <v>115</v>
      </c>
      <c r="B3" s="347" t="s">
        <v>116</v>
      </c>
      <c r="C3" s="342" t="s">
        <v>178</v>
      </c>
      <c r="D3" s="388" t="s">
        <v>343</v>
      </c>
      <c r="E3" s="389"/>
      <c r="F3" s="390"/>
      <c r="G3" s="391" t="s">
        <v>344</v>
      </c>
      <c r="H3" s="385"/>
      <c r="I3" s="385"/>
      <c r="J3" s="385"/>
      <c r="K3" s="391" t="s">
        <v>345</v>
      </c>
      <c r="L3" s="385"/>
      <c r="M3" s="386"/>
      <c r="N3" s="333" t="s">
        <v>346</v>
      </c>
      <c r="O3" s="333"/>
      <c r="P3" s="333"/>
      <c r="Q3" s="334"/>
    </row>
    <row r="4" spans="1:17" s="194" customFormat="1" ht="46.5" customHeight="1" thickBot="1">
      <c r="A4" s="339"/>
      <c r="B4" s="348"/>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327</v>
      </c>
      <c r="C5" s="200"/>
      <c r="D5" s="201"/>
      <c r="E5" s="202"/>
      <c r="F5" s="202"/>
      <c r="G5" s="202"/>
      <c r="H5" s="203"/>
      <c r="I5" s="204"/>
      <c r="J5" s="200"/>
      <c r="K5" s="205"/>
      <c r="L5" s="206"/>
      <c r="M5" s="206"/>
      <c r="N5" s="206"/>
      <c r="O5" s="206"/>
      <c r="P5" s="206"/>
      <c r="Q5" s="206"/>
    </row>
    <row r="6" spans="1:17" s="194" customFormat="1">
      <c r="A6" s="198">
        <v>2</v>
      </c>
      <c r="B6" s="199" t="s">
        <v>352</v>
      </c>
      <c r="C6" s="200"/>
      <c r="D6" s="201"/>
      <c r="E6" s="202"/>
      <c r="F6" s="202"/>
      <c r="G6" s="202"/>
      <c r="H6" s="203"/>
      <c r="I6" s="204"/>
      <c r="J6" s="200"/>
      <c r="K6" s="205"/>
      <c r="L6" s="206"/>
      <c r="M6" s="206"/>
      <c r="N6" s="206"/>
      <c r="O6" s="206"/>
      <c r="P6" s="206"/>
      <c r="Q6" s="206"/>
    </row>
    <row r="7" spans="1:17" s="194" customFormat="1">
      <c r="A7" s="198">
        <v>3</v>
      </c>
      <c r="B7" s="199" t="s">
        <v>350</v>
      </c>
      <c r="C7" s="200"/>
      <c r="D7" s="201"/>
      <c r="E7" s="202"/>
      <c r="F7" s="202"/>
      <c r="G7" s="202"/>
      <c r="H7" s="203"/>
      <c r="I7" s="204"/>
      <c r="J7" s="200"/>
      <c r="K7" s="205"/>
      <c r="L7" s="206"/>
      <c r="M7" s="206"/>
      <c r="N7" s="206"/>
      <c r="O7" s="206"/>
      <c r="P7" s="206"/>
      <c r="Q7" s="206"/>
    </row>
    <row r="8" spans="1:17" s="194" customFormat="1">
      <c r="A8" s="198">
        <v>4</v>
      </c>
      <c r="B8" s="199" t="s">
        <v>351</v>
      </c>
      <c r="C8" s="200"/>
      <c r="D8" s="201"/>
      <c r="E8" s="202"/>
      <c r="F8" s="202"/>
      <c r="G8" s="202"/>
      <c r="H8" s="203"/>
      <c r="I8" s="204"/>
      <c r="J8" s="200"/>
      <c r="K8" s="205"/>
      <c r="L8" s="206"/>
      <c r="M8" s="206"/>
      <c r="N8" s="206"/>
      <c r="O8" s="206"/>
      <c r="P8" s="206"/>
      <c r="Q8" s="206"/>
    </row>
    <row r="9" spans="1:17" s="194" customFormat="1">
      <c r="A9" s="198">
        <v>5</v>
      </c>
      <c r="B9" s="199" t="s">
        <v>328</v>
      </c>
      <c r="C9" s="200"/>
      <c r="D9" s="201"/>
      <c r="E9" s="202"/>
      <c r="F9" s="202"/>
      <c r="G9" s="202"/>
      <c r="H9" s="203"/>
      <c r="I9" s="204"/>
      <c r="J9" s="200"/>
      <c r="K9" s="205"/>
      <c r="L9" s="206"/>
      <c r="M9" s="206"/>
      <c r="N9" s="206"/>
      <c r="O9" s="206"/>
      <c r="P9" s="206"/>
      <c r="Q9" s="206"/>
    </row>
    <row r="10" spans="1:17" s="194" customFormat="1" ht="25.5">
      <c r="A10" s="198">
        <v>6</v>
      </c>
      <c r="B10" s="294" t="s">
        <v>329</v>
      </c>
      <c r="C10" s="200"/>
      <c r="D10" s="201"/>
      <c r="E10" s="202"/>
      <c r="F10" s="202"/>
      <c r="G10" s="202"/>
      <c r="H10" s="203"/>
      <c r="I10" s="204"/>
      <c r="J10" s="200"/>
      <c r="K10" s="205"/>
      <c r="L10" s="206"/>
      <c r="M10" s="206"/>
      <c r="N10" s="206"/>
      <c r="O10" s="206"/>
      <c r="P10" s="206"/>
      <c r="Q10" s="206"/>
    </row>
    <row r="11" spans="1:17" s="194" customFormat="1" ht="38.25">
      <c r="A11" s="198">
        <v>7</v>
      </c>
      <c r="B11" s="294" t="s">
        <v>330</v>
      </c>
      <c r="C11" s="200"/>
      <c r="D11" s="201"/>
      <c r="E11" s="202"/>
      <c r="F11" s="202"/>
      <c r="G11" s="202"/>
      <c r="H11" s="203"/>
      <c r="I11" s="204"/>
      <c r="J11" s="200"/>
      <c r="K11" s="205"/>
      <c r="L11" s="206"/>
      <c r="M11" s="206"/>
      <c r="N11" s="206"/>
      <c r="O11" s="206"/>
      <c r="P11" s="206"/>
      <c r="Q11" s="206"/>
    </row>
    <row r="12" spans="1:17" s="194" customFormat="1">
      <c r="A12" s="198">
        <v>8</v>
      </c>
      <c r="B12" s="199" t="s">
        <v>331</v>
      </c>
      <c r="C12" s="200"/>
      <c r="D12" s="201"/>
      <c r="E12" s="202"/>
      <c r="F12" s="202"/>
      <c r="G12" s="202"/>
      <c r="H12" s="203"/>
      <c r="I12" s="204"/>
      <c r="J12" s="200"/>
      <c r="K12" s="205"/>
      <c r="L12" s="206"/>
      <c r="M12" s="206"/>
      <c r="N12" s="206"/>
      <c r="O12" s="206"/>
      <c r="P12" s="206"/>
      <c r="Q12" s="206"/>
    </row>
    <row r="13" spans="1:17" s="194" customFormat="1">
      <c r="A13" s="198">
        <v>9</v>
      </c>
      <c r="B13" s="199" t="s">
        <v>332</v>
      </c>
      <c r="C13" s="200"/>
      <c r="D13" s="201"/>
      <c r="E13" s="202"/>
      <c r="F13" s="202"/>
      <c r="G13" s="202"/>
      <c r="H13" s="203"/>
      <c r="I13" s="204"/>
      <c r="J13" s="200"/>
      <c r="K13" s="205"/>
      <c r="L13" s="206"/>
      <c r="M13" s="206"/>
      <c r="N13" s="206"/>
      <c r="O13" s="206"/>
      <c r="P13" s="206"/>
      <c r="Q13" s="206"/>
    </row>
    <row r="14" spans="1:17" s="194" customFormat="1" ht="38.25">
      <c r="A14" s="198">
        <v>10</v>
      </c>
      <c r="B14" s="294" t="s">
        <v>333</v>
      </c>
      <c r="C14" s="208"/>
      <c r="D14" s="201"/>
      <c r="E14" s="202"/>
      <c r="F14" s="202"/>
      <c r="G14" s="202"/>
      <c r="H14" s="203"/>
      <c r="I14" s="204"/>
      <c r="J14" s="200"/>
      <c r="K14" s="205"/>
      <c r="L14" s="206"/>
      <c r="M14" s="206"/>
      <c r="N14" s="206"/>
      <c r="O14" s="206"/>
      <c r="P14" s="206"/>
      <c r="Q14" s="206"/>
    </row>
    <row r="15" spans="1:17" s="194" customFormat="1">
      <c r="A15" s="198">
        <v>11</v>
      </c>
      <c r="B15" s="294" t="s">
        <v>334</v>
      </c>
      <c r="C15" s="287"/>
      <c r="D15" s="288"/>
      <c r="E15" s="289"/>
      <c r="F15" s="289"/>
      <c r="G15" s="289"/>
      <c r="H15" s="290"/>
      <c r="I15" s="291"/>
      <c r="J15" s="292"/>
      <c r="K15" s="293"/>
      <c r="L15" s="206"/>
      <c r="M15" s="206"/>
      <c r="N15" s="206"/>
      <c r="O15" s="206"/>
      <c r="P15" s="206"/>
      <c r="Q15" s="206"/>
    </row>
    <row r="16" spans="1:17" s="219" customFormat="1" ht="15" customHeight="1" thickBot="1">
      <c r="A16" s="344" t="s">
        <v>5</v>
      </c>
      <c r="B16" s="345"/>
      <c r="C16" s="346"/>
      <c r="D16" s="261"/>
      <c r="E16" s="262"/>
      <c r="F16" s="262"/>
      <c r="G16" s="262"/>
      <c r="H16" s="263"/>
      <c r="I16" s="264"/>
      <c r="J16" s="265"/>
      <c r="K16" s="266"/>
      <c r="L16" s="267"/>
      <c r="M16" s="267"/>
      <c r="N16" s="267"/>
      <c r="O16" s="268"/>
      <c r="P16" s="268"/>
      <c r="Q16" s="268"/>
    </row>
  </sheetData>
  <mergeCells count="8">
    <mergeCell ref="A16:C16"/>
    <mergeCell ref="A3:A4"/>
    <mergeCell ref="B3:B4"/>
    <mergeCell ref="C3:C4"/>
    <mergeCell ref="D3:F3"/>
    <mergeCell ref="G3:J3"/>
    <mergeCell ref="K3:M3"/>
    <mergeCell ref="N3:Q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6"/>
  <sheetViews>
    <sheetView workbookViewId="0">
      <selection activeCell="C15" sqref="C15"/>
    </sheetView>
  </sheetViews>
  <sheetFormatPr defaultColWidth="11.5703125" defaultRowHeight="12.75"/>
  <cols>
    <col min="1" max="1" width="7.28515625" style="220" customWidth="1"/>
    <col min="2" max="2" width="59.140625" style="220" bestFit="1" customWidth="1"/>
    <col min="3" max="3" width="23.5703125" style="220" customWidth="1"/>
    <col min="4" max="8" width="21.85546875" style="220" customWidth="1"/>
    <col min="9" max="17" width="26.7109375" style="220" customWidth="1"/>
    <col min="18" max="217" width="8.7109375" style="220" customWidth="1"/>
    <col min="218" max="218" width="7.28515625" style="220" customWidth="1"/>
    <col min="219" max="219" width="18.28515625" style="220" customWidth="1"/>
    <col min="220" max="220" width="23.42578125" style="220" bestFit="1" customWidth="1"/>
    <col min="221" max="222" width="10.140625" style="220" bestFit="1" customWidth="1"/>
    <col min="223" max="225" width="10.140625" style="220" customWidth="1"/>
    <col min="226" max="226" width="16.28515625" style="220" customWidth="1"/>
    <col min="227" max="227" width="20.28515625" style="220" bestFit="1" customWidth="1"/>
    <col min="228" max="230" width="20.28515625" style="220" customWidth="1"/>
    <col min="231" max="231" width="20.28515625" style="220" bestFit="1" customWidth="1"/>
    <col min="232" max="232" width="15.42578125" style="220" customWidth="1"/>
    <col min="233" max="233" width="20.28515625" style="220" bestFit="1" customWidth="1"/>
    <col min="234" max="236" width="20.28515625" style="220" customWidth="1"/>
    <col min="237" max="237" width="20.28515625" style="220" bestFit="1" customWidth="1"/>
    <col min="238" max="238" width="15.42578125" style="220" customWidth="1"/>
    <col min="239" max="239" width="20.7109375" style="220" bestFit="1" customWidth="1"/>
    <col min="240" max="242" width="20.7109375" style="220" customWidth="1"/>
    <col min="243" max="243" width="20.7109375" style="220" bestFit="1" customWidth="1"/>
    <col min="244" max="244" width="12.140625" style="220" customWidth="1"/>
    <col min="245" max="473" width="8.7109375" style="220" customWidth="1"/>
    <col min="474" max="474" width="7.28515625" style="220" customWidth="1"/>
    <col min="475" max="475" width="18.28515625" style="220" customWidth="1"/>
    <col min="476" max="476" width="23.42578125" style="220" bestFit="1" customWidth="1"/>
    <col min="477" max="478" width="10.140625" style="220" bestFit="1" customWidth="1"/>
    <col min="479" max="481" width="10.140625" style="220" customWidth="1"/>
    <col min="482" max="482" width="16.28515625" style="220" customWidth="1"/>
    <col min="483" max="483" width="20.28515625" style="220" bestFit="1" customWidth="1"/>
    <col min="484" max="486" width="20.28515625" style="220" customWidth="1"/>
    <col min="487" max="487" width="20.28515625" style="220" bestFit="1" customWidth="1"/>
    <col min="488" max="488" width="15.42578125" style="220" customWidth="1"/>
    <col min="489" max="489" width="20.28515625" style="220" bestFit="1" customWidth="1"/>
    <col min="490" max="492" width="20.28515625" style="220" customWidth="1"/>
    <col min="493" max="493" width="20.28515625" style="220" bestFit="1" customWidth="1"/>
    <col min="494" max="494" width="15.42578125" style="220" customWidth="1"/>
    <col min="495" max="495" width="20.7109375" style="220" bestFit="1" customWidth="1"/>
    <col min="496" max="498" width="20.7109375" style="220" customWidth="1"/>
    <col min="499" max="499" width="20.7109375" style="220" bestFit="1" customWidth="1"/>
    <col min="500" max="500" width="12.140625" style="220" customWidth="1"/>
    <col min="501" max="729" width="8.7109375" style="220" customWidth="1"/>
    <col min="730" max="730" width="7.28515625" style="220" customWidth="1"/>
    <col min="731" max="731" width="18.28515625" style="220" customWidth="1"/>
    <col min="732" max="732" width="23.42578125" style="220" bestFit="1" customWidth="1"/>
    <col min="733" max="734" width="10.140625" style="220" bestFit="1" customWidth="1"/>
    <col min="735" max="737" width="10.140625" style="220" customWidth="1"/>
    <col min="738" max="738" width="16.28515625" style="220" customWidth="1"/>
    <col min="739" max="739" width="20.28515625" style="220" bestFit="1" customWidth="1"/>
    <col min="740" max="742" width="20.28515625" style="220" customWidth="1"/>
    <col min="743" max="743" width="20.28515625" style="220" bestFit="1" customWidth="1"/>
    <col min="744" max="744" width="15.42578125" style="220" customWidth="1"/>
    <col min="745" max="745" width="20.28515625" style="220" bestFit="1" customWidth="1"/>
    <col min="746" max="748" width="20.28515625" style="220" customWidth="1"/>
    <col min="749" max="749" width="20.28515625" style="220" bestFit="1" customWidth="1"/>
    <col min="750" max="750" width="15.42578125" style="220" customWidth="1"/>
    <col min="751" max="751" width="20.7109375" style="220" bestFit="1" customWidth="1"/>
    <col min="752" max="754" width="20.7109375" style="220" customWidth="1"/>
    <col min="755" max="755" width="20.7109375" style="220" bestFit="1" customWidth="1"/>
    <col min="756" max="756" width="12.140625" style="220" customWidth="1"/>
    <col min="757" max="985" width="8.7109375" style="220" customWidth="1"/>
    <col min="986" max="986" width="7.28515625" style="220" customWidth="1"/>
    <col min="987" max="987" width="18.28515625" style="220" customWidth="1"/>
    <col min="988" max="988" width="23.42578125" style="220" bestFit="1" customWidth="1"/>
    <col min="989" max="990" width="10.140625" style="220" bestFit="1" customWidth="1"/>
    <col min="991" max="993" width="10.140625" style="220" customWidth="1"/>
    <col min="994" max="994" width="16.28515625" style="220" customWidth="1"/>
    <col min="995" max="995" width="20.28515625" style="220" bestFit="1" customWidth="1"/>
    <col min="996" max="998" width="20.28515625" style="220" customWidth="1"/>
    <col min="999" max="999" width="20.28515625" style="220" bestFit="1" customWidth="1"/>
    <col min="1000" max="1000" width="15.42578125" style="220" customWidth="1"/>
    <col min="1001" max="1001" width="20.28515625" style="220" bestFit="1" customWidth="1"/>
    <col min="1002" max="1004" width="20.28515625" style="220" customWidth="1"/>
    <col min="1005" max="1005" width="20.28515625" style="220" bestFit="1" customWidth="1"/>
    <col min="1006" max="1006" width="15.42578125" style="220" customWidth="1"/>
    <col min="1007" max="1007" width="20.7109375" style="220" bestFit="1" customWidth="1"/>
    <col min="1008" max="1010" width="20.7109375" style="220" customWidth="1"/>
    <col min="1011" max="1011" width="20.7109375" style="220" bestFit="1" customWidth="1"/>
    <col min="1012" max="1012" width="12.140625" style="220" customWidth="1"/>
    <col min="1013" max="1241" width="8.7109375" style="220" customWidth="1"/>
    <col min="1242" max="1242" width="7.28515625" style="220" customWidth="1"/>
    <col min="1243" max="1243" width="18.28515625" style="220" customWidth="1"/>
    <col min="1244" max="1244" width="23.42578125" style="220" bestFit="1" customWidth="1"/>
    <col min="1245" max="1246" width="10.140625" style="220" bestFit="1" customWidth="1"/>
    <col min="1247" max="1249" width="10.140625" style="220" customWidth="1"/>
    <col min="1250" max="1250" width="16.28515625" style="220" customWidth="1"/>
    <col min="1251" max="1251" width="20.28515625" style="220" bestFit="1" customWidth="1"/>
    <col min="1252" max="1254" width="20.28515625" style="220" customWidth="1"/>
    <col min="1255" max="1255" width="20.28515625" style="220" bestFit="1" customWidth="1"/>
    <col min="1256" max="1256" width="15.42578125" style="220" customWidth="1"/>
    <col min="1257" max="1257" width="20.28515625" style="220" bestFit="1" customWidth="1"/>
    <col min="1258" max="1260" width="20.28515625" style="220" customWidth="1"/>
    <col min="1261" max="1261" width="20.28515625" style="220" bestFit="1" customWidth="1"/>
    <col min="1262" max="1262" width="15.42578125" style="220" customWidth="1"/>
    <col min="1263" max="1263" width="20.7109375" style="220" bestFit="1" customWidth="1"/>
    <col min="1264" max="1266" width="20.7109375" style="220" customWidth="1"/>
    <col min="1267" max="1267" width="20.7109375" style="220" bestFit="1" customWidth="1"/>
    <col min="1268" max="1268" width="12.140625" style="220" customWidth="1"/>
    <col min="1269" max="1497" width="8.7109375" style="220" customWidth="1"/>
    <col min="1498" max="1498" width="7.28515625" style="220" customWidth="1"/>
    <col min="1499" max="1499" width="18.28515625" style="220" customWidth="1"/>
    <col min="1500" max="1500" width="23.42578125" style="220" bestFit="1" customWidth="1"/>
    <col min="1501" max="1502" width="10.140625" style="220" bestFit="1" customWidth="1"/>
    <col min="1503" max="1505" width="10.140625" style="220" customWidth="1"/>
    <col min="1506" max="1506" width="16.28515625" style="220" customWidth="1"/>
    <col min="1507" max="1507" width="20.28515625" style="220" bestFit="1" customWidth="1"/>
    <col min="1508" max="1510" width="20.28515625" style="220" customWidth="1"/>
    <col min="1511" max="1511" width="20.28515625" style="220" bestFit="1" customWidth="1"/>
    <col min="1512" max="1512" width="15.42578125" style="220" customWidth="1"/>
    <col min="1513" max="1513" width="20.28515625" style="220" bestFit="1" customWidth="1"/>
    <col min="1514" max="1516" width="20.28515625" style="220" customWidth="1"/>
    <col min="1517" max="1517" width="20.28515625" style="220" bestFit="1" customWidth="1"/>
    <col min="1518" max="1518" width="15.42578125" style="220" customWidth="1"/>
    <col min="1519" max="1519" width="20.7109375" style="220" bestFit="1" customWidth="1"/>
    <col min="1520" max="1522" width="20.7109375" style="220" customWidth="1"/>
    <col min="1523" max="1523" width="20.7109375" style="220" bestFit="1" customWidth="1"/>
    <col min="1524" max="1524" width="12.140625" style="220" customWidth="1"/>
    <col min="1525" max="1753" width="8.7109375" style="220" customWidth="1"/>
    <col min="1754" max="1754" width="7.28515625" style="220" customWidth="1"/>
    <col min="1755" max="1755" width="18.28515625" style="220" customWidth="1"/>
    <col min="1756" max="1756" width="23.42578125" style="220" bestFit="1" customWidth="1"/>
    <col min="1757" max="1758" width="10.140625" style="220" bestFit="1" customWidth="1"/>
    <col min="1759" max="1761" width="10.140625" style="220" customWidth="1"/>
    <col min="1762" max="1762" width="16.28515625" style="220" customWidth="1"/>
    <col min="1763" max="1763" width="20.28515625" style="220" bestFit="1" customWidth="1"/>
    <col min="1764" max="1766" width="20.28515625" style="220" customWidth="1"/>
    <col min="1767" max="1767" width="20.28515625" style="220" bestFit="1" customWidth="1"/>
    <col min="1768" max="1768" width="15.42578125" style="220" customWidth="1"/>
    <col min="1769" max="1769" width="20.28515625" style="220" bestFit="1" customWidth="1"/>
    <col min="1770" max="1772" width="20.28515625" style="220" customWidth="1"/>
    <col min="1773" max="1773" width="20.28515625" style="220" bestFit="1" customWidth="1"/>
    <col min="1774" max="1774" width="15.42578125" style="220" customWidth="1"/>
    <col min="1775" max="1775" width="20.7109375" style="220" bestFit="1" customWidth="1"/>
    <col min="1776" max="1778" width="20.7109375" style="220" customWidth="1"/>
    <col min="1779" max="1779" width="20.7109375" style="220" bestFit="1" customWidth="1"/>
    <col min="1780" max="1780" width="12.140625" style="220" customWidth="1"/>
    <col min="1781" max="2009" width="8.7109375" style="220" customWidth="1"/>
    <col min="2010" max="2010" width="7.28515625" style="220" customWidth="1"/>
    <col min="2011" max="2011" width="18.28515625" style="220" customWidth="1"/>
    <col min="2012" max="2012" width="23.42578125" style="220" bestFit="1" customWidth="1"/>
    <col min="2013" max="2014" width="10.140625" style="220" bestFit="1" customWidth="1"/>
    <col min="2015" max="2017" width="10.140625" style="220" customWidth="1"/>
    <col min="2018" max="2018" width="16.28515625" style="220" customWidth="1"/>
    <col min="2019" max="2019" width="20.28515625" style="220" bestFit="1" customWidth="1"/>
    <col min="2020" max="2022" width="20.28515625" style="220" customWidth="1"/>
    <col min="2023" max="2023" width="20.28515625" style="220" bestFit="1" customWidth="1"/>
    <col min="2024" max="2024" width="15.42578125" style="220" customWidth="1"/>
    <col min="2025" max="2025" width="20.28515625" style="220" bestFit="1" customWidth="1"/>
    <col min="2026" max="2028" width="20.28515625" style="220" customWidth="1"/>
    <col min="2029" max="2029" width="20.28515625" style="220" bestFit="1" customWidth="1"/>
    <col min="2030" max="2030" width="15.42578125" style="220" customWidth="1"/>
    <col min="2031" max="2031" width="20.7109375" style="220" bestFit="1" customWidth="1"/>
    <col min="2032" max="2034" width="20.7109375" style="220" customWidth="1"/>
    <col min="2035" max="2035" width="20.7109375" style="220" bestFit="1" customWidth="1"/>
    <col min="2036" max="2036" width="12.140625" style="220" customWidth="1"/>
    <col min="2037" max="2265" width="8.7109375" style="220" customWidth="1"/>
    <col min="2266" max="2266" width="7.28515625" style="220" customWidth="1"/>
    <col min="2267" max="2267" width="18.28515625" style="220" customWidth="1"/>
    <col min="2268" max="2268" width="23.42578125" style="220" bestFit="1" customWidth="1"/>
    <col min="2269" max="2270" width="10.140625" style="220" bestFit="1" customWidth="1"/>
    <col min="2271" max="2273" width="10.140625" style="220" customWidth="1"/>
    <col min="2274" max="2274" width="16.28515625" style="220" customWidth="1"/>
    <col min="2275" max="2275" width="20.28515625" style="220" bestFit="1" customWidth="1"/>
    <col min="2276" max="2278" width="20.28515625" style="220" customWidth="1"/>
    <col min="2279" max="2279" width="20.28515625" style="220" bestFit="1" customWidth="1"/>
    <col min="2280" max="2280" width="15.42578125" style="220" customWidth="1"/>
    <col min="2281" max="2281" width="20.28515625" style="220" bestFit="1" customWidth="1"/>
    <col min="2282" max="2284" width="20.28515625" style="220" customWidth="1"/>
    <col min="2285" max="2285" width="20.28515625" style="220" bestFit="1" customWidth="1"/>
    <col min="2286" max="2286" width="15.42578125" style="220" customWidth="1"/>
    <col min="2287" max="2287" width="20.7109375" style="220" bestFit="1" customWidth="1"/>
    <col min="2288" max="2290" width="20.7109375" style="220" customWidth="1"/>
    <col min="2291" max="2291" width="20.7109375" style="220" bestFit="1" customWidth="1"/>
    <col min="2292" max="2292" width="12.140625" style="220" customWidth="1"/>
    <col min="2293" max="2521" width="8.7109375" style="220" customWidth="1"/>
    <col min="2522" max="2522" width="7.28515625" style="220" customWidth="1"/>
    <col min="2523" max="2523" width="18.28515625" style="220" customWidth="1"/>
    <col min="2524" max="2524" width="23.42578125" style="220" bestFit="1" customWidth="1"/>
    <col min="2525" max="2526" width="10.140625" style="220" bestFit="1" customWidth="1"/>
    <col min="2527" max="2529" width="10.140625" style="220" customWidth="1"/>
    <col min="2530" max="2530" width="16.28515625" style="220" customWidth="1"/>
    <col min="2531" max="2531" width="20.28515625" style="220" bestFit="1" customWidth="1"/>
    <col min="2532" max="2534" width="20.28515625" style="220" customWidth="1"/>
    <col min="2535" max="2535" width="20.28515625" style="220" bestFit="1" customWidth="1"/>
    <col min="2536" max="2536" width="15.42578125" style="220" customWidth="1"/>
    <col min="2537" max="2537" width="20.28515625" style="220" bestFit="1" customWidth="1"/>
    <col min="2538" max="2540" width="20.28515625" style="220" customWidth="1"/>
    <col min="2541" max="2541" width="20.28515625" style="220" bestFit="1" customWidth="1"/>
    <col min="2542" max="2542" width="15.42578125" style="220" customWidth="1"/>
    <col min="2543" max="2543" width="20.7109375" style="220" bestFit="1" customWidth="1"/>
    <col min="2544" max="2546" width="20.7109375" style="220" customWidth="1"/>
    <col min="2547" max="2547" width="20.7109375" style="220" bestFit="1" customWidth="1"/>
    <col min="2548" max="2548" width="12.140625" style="220" customWidth="1"/>
    <col min="2549" max="2777" width="8.7109375" style="220" customWidth="1"/>
    <col min="2778" max="2778" width="7.28515625" style="220" customWidth="1"/>
    <col min="2779" max="2779" width="18.28515625" style="220" customWidth="1"/>
    <col min="2780" max="2780" width="23.42578125" style="220" bestFit="1" customWidth="1"/>
    <col min="2781" max="2782" width="10.140625" style="220" bestFit="1" customWidth="1"/>
    <col min="2783" max="2785" width="10.140625" style="220" customWidth="1"/>
    <col min="2786" max="2786" width="16.28515625" style="220" customWidth="1"/>
    <col min="2787" max="2787" width="20.28515625" style="220" bestFit="1" customWidth="1"/>
    <col min="2788" max="2790" width="20.28515625" style="220" customWidth="1"/>
    <col min="2791" max="2791" width="20.28515625" style="220" bestFit="1" customWidth="1"/>
    <col min="2792" max="2792" width="15.42578125" style="220" customWidth="1"/>
    <col min="2793" max="2793" width="20.28515625" style="220" bestFit="1" customWidth="1"/>
    <col min="2794" max="2796" width="20.28515625" style="220" customWidth="1"/>
    <col min="2797" max="2797" width="20.28515625" style="220" bestFit="1" customWidth="1"/>
    <col min="2798" max="2798" width="15.42578125" style="220" customWidth="1"/>
    <col min="2799" max="2799" width="20.7109375" style="220" bestFit="1" customWidth="1"/>
    <col min="2800" max="2802" width="20.7109375" style="220" customWidth="1"/>
    <col min="2803" max="2803" width="20.7109375" style="220" bestFit="1" customWidth="1"/>
    <col min="2804" max="2804" width="12.140625" style="220" customWidth="1"/>
    <col min="2805" max="3033" width="8.7109375" style="220" customWidth="1"/>
    <col min="3034" max="3034" width="7.28515625" style="220" customWidth="1"/>
    <col min="3035" max="3035" width="18.28515625" style="220" customWidth="1"/>
    <col min="3036" max="3036" width="23.42578125" style="220" bestFit="1" customWidth="1"/>
    <col min="3037" max="3038" width="10.140625" style="220" bestFit="1" customWidth="1"/>
    <col min="3039" max="3041" width="10.140625" style="220" customWidth="1"/>
    <col min="3042" max="3042" width="16.28515625" style="220" customWidth="1"/>
    <col min="3043" max="3043" width="20.28515625" style="220" bestFit="1" customWidth="1"/>
    <col min="3044" max="3046" width="20.28515625" style="220" customWidth="1"/>
    <col min="3047" max="3047" width="20.28515625" style="220" bestFit="1" customWidth="1"/>
    <col min="3048" max="3048" width="15.42578125" style="220" customWidth="1"/>
    <col min="3049" max="3049" width="20.28515625" style="220" bestFit="1" customWidth="1"/>
    <col min="3050" max="3052" width="20.28515625" style="220" customWidth="1"/>
    <col min="3053" max="3053" width="20.28515625" style="220" bestFit="1" customWidth="1"/>
    <col min="3054" max="3054" width="15.42578125" style="220" customWidth="1"/>
    <col min="3055" max="3055" width="20.7109375" style="220" bestFit="1" customWidth="1"/>
    <col min="3056" max="3058" width="20.7109375" style="220" customWidth="1"/>
    <col min="3059" max="3059" width="20.7109375" style="220" bestFit="1" customWidth="1"/>
    <col min="3060" max="3060" width="12.140625" style="220" customWidth="1"/>
    <col min="3061" max="3289" width="8.7109375" style="220" customWidth="1"/>
    <col min="3290" max="3290" width="7.28515625" style="220" customWidth="1"/>
    <col min="3291" max="3291" width="18.28515625" style="220" customWidth="1"/>
    <col min="3292" max="3292" width="23.42578125" style="220" bestFit="1" customWidth="1"/>
    <col min="3293" max="3294" width="10.140625" style="220" bestFit="1" customWidth="1"/>
    <col min="3295" max="3297" width="10.140625" style="220" customWidth="1"/>
    <col min="3298" max="3298" width="16.28515625" style="220" customWidth="1"/>
    <col min="3299" max="3299" width="20.28515625" style="220" bestFit="1" customWidth="1"/>
    <col min="3300" max="3302" width="20.28515625" style="220" customWidth="1"/>
    <col min="3303" max="3303" width="20.28515625" style="220" bestFit="1" customWidth="1"/>
    <col min="3304" max="3304" width="15.42578125" style="220" customWidth="1"/>
    <col min="3305" max="3305" width="20.28515625" style="220" bestFit="1" customWidth="1"/>
    <col min="3306" max="3308" width="20.28515625" style="220" customWidth="1"/>
    <col min="3309" max="3309" width="20.28515625" style="220" bestFit="1" customWidth="1"/>
    <col min="3310" max="3310" width="15.42578125" style="220" customWidth="1"/>
    <col min="3311" max="3311" width="20.7109375" style="220" bestFit="1" customWidth="1"/>
    <col min="3312" max="3314" width="20.7109375" style="220" customWidth="1"/>
    <col min="3315" max="3315" width="20.7109375" style="220" bestFit="1" customWidth="1"/>
    <col min="3316" max="3316" width="12.140625" style="220" customWidth="1"/>
    <col min="3317" max="3545" width="8.7109375" style="220" customWidth="1"/>
    <col min="3546" max="3546" width="7.28515625" style="220" customWidth="1"/>
    <col min="3547" max="3547" width="18.28515625" style="220" customWidth="1"/>
    <col min="3548" max="3548" width="23.42578125" style="220" bestFit="1" customWidth="1"/>
    <col min="3549" max="3550" width="10.140625" style="220" bestFit="1" customWidth="1"/>
    <col min="3551" max="3553" width="10.140625" style="220" customWidth="1"/>
    <col min="3554" max="3554" width="16.28515625" style="220" customWidth="1"/>
    <col min="3555" max="3555" width="20.28515625" style="220" bestFit="1" customWidth="1"/>
    <col min="3556" max="3558" width="20.28515625" style="220" customWidth="1"/>
    <col min="3559" max="3559" width="20.28515625" style="220" bestFit="1" customWidth="1"/>
    <col min="3560" max="3560" width="15.42578125" style="220" customWidth="1"/>
    <col min="3561" max="3561" width="20.28515625" style="220" bestFit="1" customWidth="1"/>
    <col min="3562" max="3564" width="20.28515625" style="220" customWidth="1"/>
    <col min="3565" max="3565" width="20.28515625" style="220" bestFit="1" customWidth="1"/>
    <col min="3566" max="3566" width="15.42578125" style="220" customWidth="1"/>
    <col min="3567" max="3567" width="20.7109375" style="220" bestFit="1" customWidth="1"/>
    <col min="3568" max="3570" width="20.7109375" style="220" customWidth="1"/>
    <col min="3571" max="3571" width="20.7109375" style="220" bestFit="1" customWidth="1"/>
    <col min="3572" max="3572" width="12.140625" style="220" customWidth="1"/>
    <col min="3573" max="3801" width="8.7109375" style="220" customWidth="1"/>
    <col min="3802" max="3802" width="7.28515625" style="220" customWidth="1"/>
    <col min="3803" max="3803" width="18.28515625" style="220" customWidth="1"/>
    <col min="3804" max="3804" width="23.42578125" style="220" bestFit="1" customWidth="1"/>
    <col min="3805" max="3806" width="10.140625" style="220" bestFit="1" customWidth="1"/>
    <col min="3807" max="3809" width="10.140625" style="220" customWidth="1"/>
    <col min="3810" max="3810" width="16.28515625" style="220" customWidth="1"/>
    <col min="3811" max="3811" width="20.28515625" style="220" bestFit="1" customWidth="1"/>
    <col min="3812" max="3814" width="20.28515625" style="220" customWidth="1"/>
    <col min="3815" max="3815" width="20.28515625" style="220" bestFit="1" customWidth="1"/>
    <col min="3816" max="3816" width="15.42578125" style="220" customWidth="1"/>
    <col min="3817" max="3817" width="20.28515625" style="220" bestFit="1" customWidth="1"/>
    <col min="3818" max="3820" width="20.28515625" style="220" customWidth="1"/>
    <col min="3821" max="3821" width="20.28515625" style="220" bestFit="1" customWidth="1"/>
    <col min="3822" max="3822" width="15.42578125" style="220" customWidth="1"/>
    <col min="3823" max="3823" width="20.7109375" style="220" bestFit="1" customWidth="1"/>
    <col min="3824" max="3826" width="20.7109375" style="220" customWidth="1"/>
    <col min="3827" max="3827" width="20.7109375" style="220" bestFit="1" customWidth="1"/>
    <col min="3828" max="3828" width="12.140625" style="220" customWidth="1"/>
    <col min="3829" max="4057" width="8.7109375" style="220" customWidth="1"/>
    <col min="4058" max="4058" width="7.28515625" style="220" customWidth="1"/>
    <col min="4059" max="4059" width="18.28515625" style="220" customWidth="1"/>
    <col min="4060" max="4060" width="23.42578125" style="220" bestFit="1" customWidth="1"/>
    <col min="4061" max="4062" width="10.140625" style="220" bestFit="1" customWidth="1"/>
    <col min="4063" max="4065" width="10.140625" style="220" customWidth="1"/>
    <col min="4066" max="4066" width="16.28515625" style="220" customWidth="1"/>
    <col min="4067" max="4067" width="20.28515625" style="220" bestFit="1" customWidth="1"/>
    <col min="4068" max="4070" width="20.28515625" style="220" customWidth="1"/>
    <col min="4071" max="4071" width="20.28515625" style="220" bestFit="1" customWidth="1"/>
    <col min="4072" max="4072" width="15.42578125" style="220" customWidth="1"/>
    <col min="4073" max="4073" width="20.28515625" style="220" bestFit="1" customWidth="1"/>
    <col min="4074" max="4076" width="20.28515625" style="220" customWidth="1"/>
    <col min="4077" max="4077" width="20.28515625" style="220" bestFit="1" customWidth="1"/>
    <col min="4078" max="4078" width="15.42578125" style="220" customWidth="1"/>
    <col min="4079" max="4079" width="20.7109375" style="220" bestFit="1" customWidth="1"/>
    <col min="4080" max="4082" width="20.7109375" style="220" customWidth="1"/>
    <col min="4083" max="4083" width="20.7109375" style="220" bestFit="1" customWidth="1"/>
    <col min="4084" max="4084" width="12.140625" style="220" customWidth="1"/>
    <col min="4085" max="4313" width="8.7109375" style="220" customWidth="1"/>
    <col min="4314" max="4314" width="7.28515625" style="220" customWidth="1"/>
    <col min="4315" max="4315" width="18.28515625" style="220" customWidth="1"/>
    <col min="4316" max="4316" width="23.42578125" style="220" bestFit="1" customWidth="1"/>
    <col min="4317" max="4318" width="10.140625" style="220" bestFit="1" customWidth="1"/>
    <col min="4319" max="4321" width="10.140625" style="220" customWidth="1"/>
    <col min="4322" max="4322" width="16.28515625" style="220" customWidth="1"/>
    <col min="4323" max="4323" width="20.28515625" style="220" bestFit="1" customWidth="1"/>
    <col min="4324" max="4326" width="20.28515625" style="220" customWidth="1"/>
    <col min="4327" max="4327" width="20.28515625" style="220" bestFit="1" customWidth="1"/>
    <col min="4328" max="4328" width="15.42578125" style="220" customWidth="1"/>
    <col min="4329" max="4329" width="20.28515625" style="220" bestFit="1" customWidth="1"/>
    <col min="4330" max="4332" width="20.28515625" style="220" customWidth="1"/>
    <col min="4333" max="4333" width="20.28515625" style="220" bestFit="1" customWidth="1"/>
    <col min="4334" max="4334" width="15.42578125" style="220" customWidth="1"/>
    <col min="4335" max="4335" width="20.7109375" style="220" bestFit="1" customWidth="1"/>
    <col min="4336" max="4338" width="20.7109375" style="220" customWidth="1"/>
    <col min="4339" max="4339" width="20.7109375" style="220" bestFit="1" customWidth="1"/>
    <col min="4340" max="4340" width="12.140625" style="220" customWidth="1"/>
    <col min="4341" max="4569" width="8.7109375" style="220" customWidth="1"/>
    <col min="4570" max="4570" width="7.28515625" style="220" customWidth="1"/>
    <col min="4571" max="4571" width="18.28515625" style="220" customWidth="1"/>
    <col min="4572" max="4572" width="23.42578125" style="220" bestFit="1" customWidth="1"/>
    <col min="4573" max="4574" width="10.140625" style="220" bestFit="1" customWidth="1"/>
    <col min="4575" max="4577" width="10.140625" style="220" customWidth="1"/>
    <col min="4578" max="4578" width="16.28515625" style="220" customWidth="1"/>
    <col min="4579" max="4579" width="20.28515625" style="220" bestFit="1" customWidth="1"/>
    <col min="4580" max="4582" width="20.28515625" style="220" customWidth="1"/>
    <col min="4583" max="4583" width="20.28515625" style="220" bestFit="1" customWidth="1"/>
    <col min="4584" max="4584" width="15.42578125" style="220" customWidth="1"/>
    <col min="4585" max="4585" width="20.28515625" style="220" bestFit="1" customWidth="1"/>
    <col min="4586" max="4588" width="20.28515625" style="220" customWidth="1"/>
    <col min="4589" max="4589" width="20.28515625" style="220" bestFit="1" customWidth="1"/>
    <col min="4590" max="4590" width="15.42578125" style="220" customWidth="1"/>
    <col min="4591" max="4591" width="20.7109375" style="220" bestFit="1" customWidth="1"/>
    <col min="4592" max="4594" width="20.7109375" style="220" customWidth="1"/>
    <col min="4595" max="4595" width="20.7109375" style="220" bestFit="1" customWidth="1"/>
    <col min="4596" max="4596" width="12.140625" style="220" customWidth="1"/>
    <col min="4597" max="4825" width="8.7109375" style="220" customWidth="1"/>
    <col min="4826" max="4826" width="7.28515625" style="220" customWidth="1"/>
    <col min="4827" max="4827" width="18.28515625" style="220" customWidth="1"/>
    <col min="4828" max="4828" width="23.42578125" style="220" bestFit="1" customWidth="1"/>
    <col min="4829" max="4830" width="10.140625" style="220" bestFit="1" customWidth="1"/>
    <col min="4831" max="4833" width="10.140625" style="220" customWidth="1"/>
    <col min="4834" max="4834" width="16.28515625" style="220" customWidth="1"/>
    <col min="4835" max="4835" width="20.28515625" style="220" bestFit="1" customWidth="1"/>
    <col min="4836" max="4838" width="20.28515625" style="220" customWidth="1"/>
    <col min="4839" max="4839" width="20.28515625" style="220" bestFit="1" customWidth="1"/>
    <col min="4840" max="4840" width="15.42578125" style="220" customWidth="1"/>
    <col min="4841" max="4841" width="20.28515625" style="220" bestFit="1" customWidth="1"/>
    <col min="4842" max="4844" width="20.28515625" style="220" customWidth="1"/>
    <col min="4845" max="4845" width="20.28515625" style="220" bestFit="1" customWidth="1"/>
    <col min="4846" max="4846" width="15.42578125" style="220" customWidth="1"/>
    <col min="4847" max="4847" width="20.7109375" style="220" bestFit="1" customWidth="1"/>
    <col min="4848" max="4850" width="20.7109375" style="220" customWidth="1"/>
    <col min="4851" max="4851" width="20.7109375" style="220" bestFit="1" customWidth="1"/>
    <col min="4852" max="4852" width="12.140625" style="220" customWidth="1"/>
    <col min="4853" max="5081" width="8.7109375" style="220" customWidth="1"/>
    <col min="5082" max="5082" width="7.28515625" style="220" customWidth="1"/>
    <col min="5083" max="5083" width="18.28515625" style="220" customWidth="1"/>
    <col min="5084" max="5084" width="23.42578125" style="220" bestFit="1" customWidth="1"/>
    <col min="5085" max="5086" width="10.140625" style="220" bestFit="1" customWidth="1"/>
    <col min="5087" max="5089" width="10.140625" style="220" customWidth="1"/>
    <col min="5090" max="5090" width="16.28515625" style="220" customWidth="1"/>
    <col min="5091" max="5091" width="20.28515625" style="220" bestFit="1" customWidth="1"/>
    <col min="5092" max="5094" width="20.28515625" style="220" customWidth="1"/>
    <col min="5095" max="5095" width="20.28515625" style="220" bestFit="1" customWidth="1"/>
    <col min="5096" max="5096" width="15.42578125" style="220" customWidth="1"/>
    <col min="5097" max="5097" width="20.28515625" style="220" bestFit="1" customWidth="1"/>
    <col min="5098" max="5100" width="20.28515625" style="220" customWidth="1"/>
    <col min="5101" max="5101" width="20.28515625" style="220" bestFit="1" customWidth="1"/>
    <col min="5102" max="5102" width="15.42578125" style="220" customWidth="1"/>
    <col min="5103" max="5103" width="20.7109375" style="220" bestFit="1" customWidth="1"/>
    <col min="5104" max="5106" width="20.7109375" style="220" customWidth="1"/>
    <col min="5107" max="5107" width="20.7109375" style="220" bestFit="1" customWidth="1"/>
    <col min="5108" max="5108" width="12.140625" style="220" customWidth="1"/>
    <col min="5109" max="5337" width="8.7109375" style="220" customWidth="1"/>
    <col min="5338" max="5338" width="7.28515625" style="220" customWidth="1"/>
    <col min="5339" max="5339" width="18.28515625" style="220" customWidth="1"/>
    <col min="5340" max="5340" width="23.42578125" style="220" bestFit="1" customWidth="1"/>
    <col min="5341" max="5342" width="10.140625" style="220" bestFit="1" customWidth="1"/>
    <col min="5343" max="5345" width="10.140625" style="220" customWidth="1"/>
    <col min="5346" max="5346" width="16.28515625" style="220" customWidth="1"/>
    <col min="5347" max="5347" width="20.28515625" style="220" bestFit="1" customWidth="1"/>
    <col min="5348" max="5350" width="20.28515625" style="220" customWidth="1"/>
    <col min="5351" max="5351" width="20.28515625" style="220" bestFit="1" customWidth="1"/>
    <col min="5352" max="5352" width="15.42578125" style="220" customWidth="1"/>
    <col min="5353" max="5353" width="20.28515625" style="220" bestFit="1" customWidth="1"/>
    <col min="5354" max="5356" width="20.28515625" style="220" customWidth="1"/>
    <col min="5357" max="5357" width="20.28515625" style="220" bestFit="1" customWidth="1"/>
    <col min="5358" max="5358" width="15.42578125" style="220" customWidth="1"/>
    <col min="5359" max="5359" width="20.7109375" style="220" bestFit="1" customWidth="1"/>
    <col min="5360" max="5362" width="20.7109375" style="220" customWidth="1"/>
    <col min="5363" max="5363" width="20.7109375" style="220" bestFit="1" customWidth="1"/>
    <col min="5364" max="5364" width="12.140625" style="220" customWidth="1"/>
    <col min="5365" max="5593" width="8.7109375" style="220" customWidth="1"/>
    <col min="5594" max="5594" width="7.28515625" style="220" customWidth="1"/>
    <col min="5595" max="5595" width="18.28515625" style="220" customWidth="1"/>
    <col min="5596" max="5596" width="23.42578125" style="220" bestFit="1" customWidth="1"/>
    <col min="5597" max="5598" width="10.140625" style="220" bestFit="1" customWidth="1"/>
    <col min="5599" max="5601" width="10.140625" style="220" customWidth="1"/>
    <col min="5602" max="5602" width="16.28515625" style="220" customWidth="1"/>
    <col min="5603" max="5603" width="20.28515625" style="220" bestFit="1" customWidth="1"/>
    <col min="5604" max="5606" width="20.28515625" style="220" customWidth="1"/>
    <col min="5607" max="5607" width="20.28515625" style="220" bestFit="1" customWidth="1"/>
    <col min="5608" max="5608" width="15.42578125" style="220" customWidth="1"/>
    <col min="5609" max="5609" width="20.28515625" style="220" bestFit="1" customWidth="1"/>
    <col min="5610" max="5612" width="20.28515625" style="220" customWidth="1"/>
    <col min="5613" max="5613" width="20.28515625" style="220" bestFit="1" customWidth="1"/>
    <col min="5614" max="5614" width="15.42578125" style="220" customWidth="1"/>
    <col min="5615" max="5615" width="20.7109375" style="220" bestFit="1" customWidth="1"/>
    <col min="5616" max="5618" width="20.7109375" style="220" customWidth="1"/>
    <col min="5619" max="5619" width="20.7109375" style="220" bestFit="1" customWidth="1"/>
    <col min="5620" max="5620" width="12.140625" style="220" customWidth="1"/>
    <col min="5621" max="5849" width="8.7109375" style="220" customWidth="1"/>
    <col min="5850" max="5850" width="7.28515625" style="220" customWidth="1"/>
    <col min="5851" max="5851" width="18.28515625" style="220" customWidth="1"/>
    <col min="5852" max="5852" width="23.42578125" style="220" bestFit="1" customWidth="1"/>
    <col min="5853" max="5854" width="10.140625" style="220" bestFit="1" customWidth="1"/>
    <col min="5855" max="5857" width="10.140625" style="220" customWidth="1"/>
    <col min="5858" max="5858" width="16.28515625" style="220" customWidth="1"/>
    <col min="5859" max="5859" width="20.28515625" style="220" bestFit="1" customWidth="1"/>
    <col min="5860" max="5862" width="20.28515625" style="220" customWidth="1"/>
    <col min="5863" max="5863" width="20.28515625" style="220" bestFit="1" customWidth="1"/>
    <col min="5864" max="5864" width="15.42578125" style="220" customWidth="1"/>
    <col min="5865" max="5865" width="20.28515625" style="220" bestFit="1" customWidth="1"/>
    <col min="5866" max="5868" width="20.28515625" style="220" customWidth="1"/>
    <col min="5869" max="5869" width="20.28515625" style="220" bestFit="1" customWidth="1"/>
    <col min="5870" max="5870" width="15.42578125" style="220" customWidth="1"/>
    <col min="5871" max="5871" width="20.7109375" style="220" bestFit="1" customWidth="1"/>
    <col min="5872" max="5874" width="20.7109375" style="220" customWidth="1"/>
    <col min="5875" max="5875" width="20.7109375" style="220" bestFit="1" customWidth="1"/>
    <col min="5876" max="5876" width="12.140625" style="220" customWidth="1"/>
    <col min="5877" max="6105" width="8.7109375" style="220" customWidth="1"/>
    <col min="6106" max="6106" width="7.28515625" style="220" customWidth="1"/>
    <col min="6107" max="6107" width="18.28515625" style="220" customWidth="1"/>
    <col min="6108" max="6108" width="23.42578125" style="220" bestFit="1" customWidth="1"/>
    <col min="6109" max="6110" width="10.140625" style="220" bestFit="1" customWidth="1"/>
    <col min="6111" max="6113" width="10.140625" style="220" customWidth="1"/>
    <col min="6114" max="6114" width="16.28515625" style="220" customWidth="1"/>
    <col min="6115" max="6115" width="20.28515625" style="220" bestFit="1" customWidth="1"/>
    <col min="6116" max="6118" width="20.28515625" style="220" customWidth="1"/>
    <col min="6119" max="6119" width="20.28515625" style="220" bestFit="1" customWidth="1"/>
    <col min="6120" max="6120" width="15.42578125" style="220" customWidth="1"/>
    <col min="6121" max="6121" width="20.28515625" style="220" bestFit="1" customWidth="1"/>
    <col min="6122" max="6124" width="20.28515625" style="220" customWidth="1"/>
    <col min="6125" max="6125" width="20.28515625" style="220" bestFit="1" customWidth="1"/>
    <col min="6126" max="6126" width="15.42578125" style="220" customWidth="1"/>
    <col min="6127" max="6127" width="20.7109375" style="220" bestFit="1" customWidth="1"/>
    <col min="6128" max="6130" width="20.7109375" style="220" customWidth="1"/>
    <col min="6131" max="6131" width="20.7109375" style="220" bestFit="1" customWidth="1"/>
    <col min="6132" max="6132" width="12.140625" style="220" customWidth="1"/>
    <col min="6133" max="6361" width="8.7109375" style="220" customWidth="1"/>
    <col min="6362" max="6362" width="7.28515625" style="220" customWidth="1"/>
    <col min="6363" max="6363" width="18.28515625" style="220" customWidth="1"/>
    <col min="6364" max="6364" width="23.42578125" style="220" bestFit="1" customWidth="1"/>
    <col min="6365" max="6366" width="10.140625" style="220" bestFit="1" customWidth="1"/>
    <col min="6367" max="6369" width="10.140625" style="220" customWidth="1"/>
    <col min="6370" max="6370" width="16.28515625" style="220" customWidth="1"/>
    <col min="6371" max="6371" width="20.28515625" style="220" bestFit="1" customWidth="1"/>
    <col min="6372" max="6374" width="20.28515625" style="220" customWidth="1"/>
    <col min="6375" max="6375" width="20.28515625" style="220" bestFit="1" customWidth="1"/>
    <col min="6376" max="6376" width="15.42578125" style="220" customWidth="1"/>
    <col min="6377" max="6377" width="20.28515625" style="220" bestFit="1" customWidth="1"/>
    <col min="6378" max="6380" width="20.28515625" style="220" customWidth="1"/>
    <col min="6381" max="6381" width="20.28515625" style="220" bestFit="1" customWidth="1"/>
    <col min="6382" max="6382" width="15.42578125" style="220" customWidth="1"/>
    <col min="6383" max="6383" width="20.7109375" style="220" bestFit="1" customWidth="1"/>
    <col min="6384" max="6386" width="20.7109375" style="220" customWidth="1"/>
    <col min="6387" max="6387" width="20.7109375" style="220" bestFit="1" customWidth="1"/>
    <col min="6388" max="6388" width="12.140625" style="220" customWidth="1"/>
    <col min="6389" max="6617" width="8.7109375" style="220" customWidth="1"/>
    <col min="6618" max="6618" width="7.28515625" style="220" customWidth="1"/>
    <col min="6619" max="6619" width="18.28515625" style="220" customWidth="1"/>
    <col min="6620" max="6620" width="23.42578125" style="220" bestFit="1" customWidth="1"/>
    <col min="6621" max="6622" width="10.140625" style="220" bestFit="1" customWidth="1"/>
    <col min="6623" max="6625" width="10.140625" style="220" customWidth="1"/>
    <col min="6626" max="6626" width="16.28515625" style="220" customWidth="1"/>
    <col min="6627" max="6627" width="20.28515625" style="220" bestFit="1" customWidth="1"/>
    <col min="6628" max="6630" width="20.28515625" style="220" customWidth="1"/>
    <col min="6631" max="6631" width="20.28515625" style="220" bestFit="1" customWidth="1"/>
    <col min="6632" max="6632" width="15.42578125" style="220" customWidth="1"/>
    <col min="6633" max="6633" width="20.28515625" style="220" bestFit="1" customWidth="1"/>
    <col min="6634" max="6636" width="20.28515625" style="220" customWidth="1"/>
    <col min="6637" max="6637" width="20.28515625" style="220" bestFit="1" customWidth="1"/>
    <col min="6638" max="6638" width="15.42578125" style="220" customWidth="1"/>
    <col min="6639" max="6639" width="20.7109375" style="220" bestFit="1" customWidth="1"/>
    <col min="6640" max="6642" width="20.7109375" style="220" customWidth="1"/>
    <col min="6643" max="6643" width="20.7109375" style="220" bestFit="1" customWidth="1"/>
    <col min="6644" max="6644" width="12.140625" style="220" customWidth="1"/>
    <col min="6645" max="6873" width="8.7109375" style="220" customWidth="1"/>
    <col min="6874" max="6874" width="7.28515625" style="220" customWidth="1"/>
    <col min="6875" max="6875" width="18.28515625" style="220" customWidth="1"/>
    <col min="6876" max="6876" width="23.42578125" style="220" bestFit="1" customWidth="1"/>
    <col min="6877" max="6878" width="10.140625" style="220" bestFit="1" customWidth="1"/>
    <col min="6879" max="6881" width="10.140625" style="220" customWidth="1"/>
    <col min="6882" max="6882" width="16.28515625" style="220" customWidth="1"/>
    <col min="6883" max="6883" width="20.28515625" style="220" bestFit="1" customWidth="1"/>
    <col min="6884" max="6886" width="20.28515625" style="220" customWidth="1"/>
    <col min="6887" max="6887" width="20.28515625" style="220" bestFit="1" customWidth="1"/>
    <col min="6888" max="6888" width="15.42578125" style="220" customWidth="1"/>
    <col min="6889" max="6889" width="20.28515625" style="220" bestFit="1" customWidth="1"/>
    <col min="6890" max="6892" width="20.28515625" style="220" customWidth="1"/>
    <col min="6893" max="6893" width="20.28515625" style="220" bestFit="1" customWidth="1"/>
    <col min="6894" max="6894" width="15.42578125" style="220" customWidth="1"/>
    <col min="6895" max="6895" width="20.7109375" style="220" bestFit="1" customWidth="1"/>
    <col min="6896" max="6898" width="20.7109375" style="220" customWidth="1"/>
    <col min="6899" max="6899" width="20.7109375" style="220" bestFit="1" customWidth="1"/>
    <col min="6900" max="6900" width="12.140625" style="220" customWidth="1"/>
    <col min="6901" max="7129" width="8.7109375" style="220" customWidth="1"/>
    <col min="7130" max="7130" width="7.28515625" style="220" customWidth="1"/>
    <col min="7131" max="7131" width="18.28515625" style="220" customWidth="1"/>
    <col min="7132" max="7132" width="23.42578125" style="220" bestFit="1" customWidth="1"/>
    <col min="7133" max="7134" width="10.140625" style="220" bestFit="1" customWidth="1"/>
    <col min="7135" max="7137" width="10.140625" style="220" customWidth="1"/>
    <col min="7138" max="7138" width="16.28515625" style="220" customWidth="1"/>
    <col min="7139" max="7139" width="20.28515625" style="220" bestFit="1" customWidth="1"/>
    <col min="7140" max="7142" width="20.28515625" style="220" customWidth="1"/>
    <col min="7143" max="7143" width="20.28515625" style="220" bestFit="1" customWidth="1"/>
    <col min="7144" max="7144" width="15.42578125" style="220" customWidth="1"/>
    <col min="7145" max="7145" width="20.28515625" style="220" bestFit="1" customWidth="1"/>
    <col min="7146" max="7148" width="20.28515625" style="220" customWidth="1"/>
    <col min="7149" max="7149" width="20.28515625" style="220" bestFit="1" customWidth="1"/>
    <col min="7150" max="7150" width="15.42578125" style="220" customWidth="1"/>
    <col min="7151" max="7151" width="20.7109375" style="220" bestFit="1" customWidth="1"/>
    <col min="7152" max="7154" width="20.7109375" style="220" customWidth="1"/>
    <col min="7155" max="7155" width="20.7109375" style="220" bestFit="1" customWidth="1"/>
    <col min="7156" max="7156" width="12.140625" style="220" customWidth="1"/>
    <col min="7157" max="7385" width="8.7109375" style="220" customWidth="1"/>
    <col min="7386" max="7386" width="7.28515625" style="220" customWidth="1"/>
    <col min="7387" max="7387" width="18.28515625" style="220" customWidth="1"/>
    <col min="7388" max="7388" width="23.42578125" style="220" bestFit="1" customWidth="1"/>
    <col min="7389" max="7390" width="10.140625" style="220" bestFit="1" customWidth="1"/>
    <col min="7391" max="7393" width="10.140625" style="220" customWidth="1"/>
    <col min="7394" max="7394" width="16.28515625" style="220" customWidth="1"/>
    <col min="7395" max="7395" width="20.28515625" style="220" bestFit="1" customWidth="1"/>
    <col min="7396" max="7398" width="20.28515625" style="220" customWidth="1"/>
    <col min="7399" max="7399" width="20.28515625" style="220" bestFit="1" customWidth="1"/>
    <col min="7400" max="7400" width="15.42578125" style="220" customWidth="1"/>
    <col min="7401" max="7401" width="20.28515625" style="220" bestFit="1" customWidth="1"/>
    <col min="7402" max="7404" width="20.28515625" style="220" customWidth="1"/>
    <col min="7405" max="7405" width="20.28515625" style="220" bestFit="1" customWidth="1"/>
    <col min="7406" max="7406" width="15.42578125" style="220" customWidth="1"/>
    <col min="7407" max="7407" width="20.7109375" style="220" bestFit="1" customWidth="1"/>
    <col min="7408" max="7410" width="20.7109375" style="220" customWidth="1"/>
    <col min="7411" max="7411" width="20.7109375" style="220" bestFit="1" customWidth="1"/>
    <col min="7412" max="7412" width="12.140625" style="220" customWidth="1"/>
    <col min="7413" max="7641" width="8.7109375" style="220" customWidth="1"/>
    <col min="7642" max="7642" width="7.28515625" style="220" customWidth="1"/>
    <col min="7643" max="7643" width="18.28515625" style="220" customWidth="1"/>
    <col min="7644" max="7644" width="23.42578125" style="220" bestFit="1" customWidth="1"/>
    <col min="7645" max="7646" width="10.140625" style="220" bestFit="1" customWidth="1"/>
    <col min="7647" max="7649" width="10.140625" style="220" customWidth="1"/>
    <col min="7650" max="7650" width="16.28515625" style="220" customWidth="1"/>
    <col min="7651" max="7651" width="20.28515625" style="220" bestFit="1" customWidth="1"/>
    <col min="7652" max="7654" width="20.28515625" style="220" customWidth="1"/>
    <col min="7655" max="7655" width="20.28515625" style="220" bestFit="1" customWidth="1"/>
    <col min="7656" max="7656" width="15.42578125" style="220" customWidth="1"/>
    <col min="7657" max="7657" width="20.28515625" style="220" bestFit="1" customWidth="1"/>
    <col min="7658" max="7660" width="20.28515625" style="220" customWidth="1"/>
    <col min="7661" max="7661" width="20.28515625" style="220" bestFit="1" customWidth="1"/>
    <col min="7662" max="7662" width="15.42578125" style="220" customWidth="1"/>
    <col min="7663" max="7663" width="20.7109375" style="220" bestFit="1" customWidth="1"/>
    <col min="7664" max="7666" width="20.7109375" style="220" customWidth="1"/>
    <col min="7667" max="7667" width="20.7109375" style="220" bestFit="1" customWidth="1"/>
    <col min="7668" max="7668" width="12.140625" style="220" customWidth="1"/>
    <col min="7669" max="7897" width="8.7109375" style="220" customWidth="1"/>
    <col min="7898" max="7898" width="7.28515625" style="220" customWidth="1"/>
    <col min="7899" max="7899" width="18.28515625" style="220" customWidth="1"/>
    <col min="7900" max="7900" width="23.42578125" style="220" bestFit="1" customWidth="1"/>
    <col min="7901" max="7902" width="10.140625" style="220" bestFit="1" customWidth="1"/>
    <col min="7903" max="7905" width="10.140625" style="220" customWidth="1"/>
    <col min="7906" max="7906" width="16.28515625" style="220" customWidth="1"/>
    <col min="7907" max="7907" width="20.28515625" style="220" bestFit="1" customWidth="1"/>
    <col min="7908" max="7910" width="20.28515625" style="220" customWidth="1"/>
    <col min="7911" max="7911" width="20.28515625" style="220" bestFit="1" customWidth="1"/>
    <col min="7912" max="7912" width="15.42578125" style="220" customWidth="1"/>
    <col min="7913" max="7913" width="20.28515625" style="220" bestFit="1" customWidth="1"/>
    <col min="7914" max="7916" width="20.28515625" style="220" customWidth="1"/>
    <col min="7917" max="7917" width="20.28515625" style="220" bestFit="1" customWidth="1"/>
    <col min="7918" max="7918" width="15.42578125" style="220" customWidth="1"/>
    <col min="7919" max="7919" width="20.7109375" style="220" bestFit="1" customWidth="1"/>
    <col min="7920" max="7922" width="20.7109375" style="220" customWidth="1"/>
    <col min="7923" max="7923" width="20.7109375" style="220" bestFit="1" customWidth="1"/>
    <col min="7924" max="7924" width="12.140625" style="220" customWidth="1"/>
    <col min="7925" max="8153" width="8.7109375" style="220" customWidth="1"/>
    <col min="8154" max="8154" width="7.28515625" style="220" customWidth="1"/>
    <col min="8155" max="8155" width="18.28515625" style="220" customWidth="1"/>
    <col min="8156" max="8156" width="23.42578125" style="220" bestFit="1" customWidth="1"/>
    <col min="8157" max="8158" width="10.140625" style="220" bestFit="1" customWidth="1"/>
    <col min="8159" max="8161" width="10.140625" style="220" customWidth="1"/>
    <col min="8162" max="8162" width="16.28515625" style="220" customWidth="1"/>
    <col min="8163" max="8163" width="20.28515625" style="220" bestFit="1" customWidth="1"/>
    <col min="8164" max="8166" width="20.28515625" style="220" customWidth="1"/>
    <col min="8167" max="8167" width="20.28515625" style="220" bestFit="1" customWidth="1"/>
    <col min="8168" max="8168" width="15.42578125" style="220" customWidth="1"/>
    <col min="8169" max="8169" width="20.28515625" style="220" bestFit="1" customWidth="1"/>
    <col min="8170" max="8172" width="20.28515625" style="220" customWidth="1"/>
    <col min="8173" max="8173" width="20.28515625" style="220" bestFit="1" customWidth="1"/>
    <col min="8174" max="8174" width="15.42578125" style="220" customWidth="1"/>
    <col min="8175" max="8175" width="20.7109375" style="220" bestFit="1" customWidth="1"/>
    <col min="8176" max="8178" width="20.7109375" style="220" customWidth="1"/>
    <col min="8179" max="8179" width="20.7109375" style="220" bestFit="1" customWidth="1"/>
    <col min="8180" max="8180" width="12.140625" style="220" customWidth="1"/>
    <col min="8181" max="8409" width="8.7109375" style="220" customWidth="1"/>
    <col min="8410" max="8410" width="7.28515625" style="220" customWidth="1"/>
    <col min="8411" max="8411" width="18.28515625" style="220" customWidth="1"/>
    <col min="8412" max="8412" width="23.42578125" style="220" bestFit="1" customWidth="1"/>
    <col min="8413" max="8414" width="10.140625" style="220" bestFit="1" customWidth="1"/>
    <col min="8415" max="8417" width="10.140625" style="220" customWidth="1"/>
    <col min="8418" max="8418" width="16.28515625" style="220" customWidth="1"/>
    <col min="8419" max="8419" width="20.28515625" style="220" bestFit="1" customWidth="1"/>
    <col min="8420" max="8422" width="20.28515625" style="220" customWidth="1"/>
    <col min="8423" max="8423" width="20.28515625" style="220" bestFit="1" customWidth="1"/>
    <col min="8424" max="8424" width="15.42578125" style="220" customWidth="1"/>
    <col min="8425" max="8425" width="20.28515625" style="220" bestFit="1" customWidth="1"/>
    <col min="8426" max="8428" width="20.28515625" style="220" customWidth="1"/>
    <col min="8429" max="8429" width="20.28515625" style="220" bestFit="1" customWidth="1"/>
    <col min="8430" max="8430" width="15.42578125" style="220" customWidth="1"/>
    <col min="8431" max="8431" width="20.7109375" style="220" bestFit="1" customWidth="1"/>
    <col min="8432" max="8434" width="20.7109375" style="220" customWidth="1"/>
    <col min="8435" max="8435" width="20.7109375" style="220" bestFit="1" customWidth="1"/>
    <col min="8436" max="8436" width="12.140625" style="220" customWidth="1"/>
    <col min="8437" max="8665" width="8.7109375" style="220" customWidth="1"/>
    <col min="8666" max="8666" width="7.28515625" style="220" customWidth="1"/>
    <col min="8667" max="8667" width="18.28515625" style="220" customWidth="1"/>
    <col min="8668" max="8668" width="23.42578125" style="220" bestFit="1" customWidth="1"/>
    <col min="8669" max="8670" width="10.140625" style="220" bestFit="1" customWidth="1"/>
    <col min="8671" max="8673" width="10.140625" style="220" customWidth="1"/>
    <col min="8674" max="8674" width="16.28515625" style="220" customWidth="1"/>
    <col min="8675" max="8675" width="20.28515625" style="220" bestFit="1" customWidth="1"/>
    <col min="8676" max="8678" width="20.28515625" style="220" customWidth="1"/>
    <col min="8679" max="8679" width="20.28515625" style="220" bestFit="1" customWidth="1"/>
    <col min="8680" max="8680" width="15.42578125" style="220" customWidth="1"/>
    <col min="8681" max="8681" width="20.28515625" style="220" bestFit="1" customWidth="1"/>
    <col min="8682" max="8684" width="20.28515625" style="220" customWidth="1"/>
    <col min="8685" max="8685" width="20.28515625" style="220" bestFit="1" customWidth="1"/>
    <col min="8686" max="8686" width="15.42578125" style="220" customWidth="1"/>
    <col min="8687" max="8687" width="20.7109375" style="220" bestFit="1" customWidth="1"/>
    <col min="8688" max="8690" width="20.7109375" style="220" customWidth="1"/>
    <col min="8691" max="8691" width="20.7109375" style="220" bestFit="1" customWidth="1"/>
    <col min="8692" max="8692" width="12.140625" style="220" customWidth="1"/>
    <col min="8693" max="8921" width="8.7109375" style="220" customWidth="1"/>
    <col min="8922" max="8922" width="7.28515625" style="220" customWidth="1"/>
    <col min="8923" max="8923" width="18.28515625" style="220" customWidth="1"/>
    <col min="8924" max="8924" width="23.42578125" style="220" bestFit="1" customWidth="1"/>
    <col min="8925" max="8926" width="10.140625" style="220" bestFit="1" customWidth="1"/>
    <col min="8927" max="8929" width="10.140625" style="220" customWidth="1"/>
    <col min="8930" max="8930" width="16.28515625" style="220" customWidth="1"/>
    <col min="8931" max="8931" width="20.28515625" style="220" bestFit="1" customWidth="1"/>
    <col min="8932" max="8934" width="20.28515625" style="220" customWidth="1"/>
    <col min="8935" max="8935" width="20.28515625" style="220" bestFit="1" customWidth="1"/>
    <col min="8936" max="8936" width="15.42578125" style="220" customWidth="1"/>
    <col min="8937" max="8937" width="20.28515625" style="220" bestFit="1" customWidth="1"/>
    <col min="8938" max="8940" width="20.28515625" style="220" customWidth="1"/>
    <col min="8941" max="8941" width="20.28515625" style="220" bestFit="1" customWidth="1"/>
    <col min="8942" max="8942" width="15.42578125" style="220" customWidth="1"/>
    <col min="8943" max="8943" width="20.7109375" style="220" bestFit="1" customWidth="1"/>
    <col min="8944" max="8946" width="20.7109375" style="220" customWidth="1"/>
    <col min="8947" max="8947" width="20.7109375" style="220" bestFit="1" customWidth="1"/>
    <col min="8948" max="8948" width="12.140625" style="220" customWidth="1"/>
    <col min="8949" max="9177" width="8.7109375" style="220" customWidth="1"/>
    <col min="9178" max="9178" width="7.28515625" style="220" customWidth="1"/>
    <col min="9179" max="9179" width="18.28515625" style="220" customWidth="1"/>
    <col min="9180" max="9180" width="23.42578125" style="220" bestFit="1" customWidth="1"/>
    <col min="9181" max="9182" width="10.140625" style="220" bestFit="1" customWidth="1"/>
    <col min="9183" max="9185" width="10.140625" style="220" customWidth="1"/>
    <col min="9186" max="9186" width="16.28515625" style="220" customWidth="1"/>
    <col min="9187" max="9187" width="20.28515625" style="220" bestFit="1" customWidth="1"/>
    <col min="9188" max="9190" width="20.28515625" style="220" customWidth="1"/>
    <col min="9191" max="9191" width="20.28515625" style="220" bestFit="1" customWidth="1"/>
    <col min="9192" max="9192" width="15.42578125" style="220" customWidth="1"/>
    <col min="9193" max="9193" width="20.28515625" style="220" bestFit="1" customWidth="1"/>
    <col min="9194" max="9196" width="20.28515625" style="220" customWidth="1"/>
    <col min="9197" max="9197" width="20.28515625" style="220" bestFit="1" customWidth="1"/>
    <col min="9198" max="9198" width="15.42578125" style="220" customWidth="1"/>
    <col min="9199" max="9199" width="20.7109375" style="220" bestFit="1" customWidth="1"/>
    <col min="9200" max="9202" width="20.7109375" style="220" customWidth="1"/>
    <col min="9203" max="9203" width="20.7109375" style="220" bestFit="1" customWidth="1"/>
    <col min="9204" max="9204" width="12.140625" style="220" customWidth="1"/>
    <col min="9205" max="9433" width="8.7109375" style="220" customWidth="1"/>
    <col min="9434" max="9434" width="7.28515625" style="220" customWidth="1"/>
    <col min="9435" max="9435" width="18.28515625" style="220" customWidth="1"/>
    <col min="9436" max="9436" width="23.42578125" style="220" bestFit="1" customWidth="1"/>
    <col min="9437" max="9438" width="10.140625" style="220" bestFit="1" customWidth="1"/>
    <col min="9439" max="9441" width="10.140625" style="220" customWidth="1"/>
    <col min="9442" max="9442" width="16.28515625" style="220" customWidth="1"/>
    <col min="9443" max="9443" width="20.28515625" style="220" bestFit="1" customWidth="1"/>
    <col min="9444" max="9446" width="20.28515625" style="220" customWidth="1"/>
    <col min="9447" max="9447" width="20.28515625" style="220" bestFit="1" customWidth="1"/>
    <col min="9448" max="9448" width="15.42578125" style="220" customWidth="1"/>
    <col min="9449" max="9449" width="20.28515625" style="220" bestFit="1" customWidth="1"/>
    <col min="9450" max="9452" width="20.28515625" style="220" customWidth="1"/>
    <col min="9453" max="9453" width="20.28515625" style="220" bestFit="1" customWidth="1"/>
    <col min="9454" max="9454" width="15.42578125" style="220" customWidth="1"/>
    <col min="9455" max="9455" width="20.7109375" style="220" bestFit="1" customWidth="1"/>
    <col min="9456" max="9458" width="20.7109375" style="220" customWidth="1"/>
    <col min="9459" max="9459" width="20.7109375" style="220" bestFit="1" customWidth="1"/>
    <col min="9460" max="9460" width="12.140625" style="220" customWidth="1"/>
    <col min="9461" max="9689" width="8.7109375" style="220" customWidth="1"/>
    <col min="9690" max="9690" width="7.28515625" style="220" customWidth="1"/>
    <col min="9691" max="9691" width="18.28515625" style="220" customWidth="1"/>
    <col min="9692" max="9692" width="23.42578125" style="220" bestFit="1" customWidth="1"/>
    <col min="9693" max="9694" width="10.140625" style="220" bestFit="1" customWidth="1"/>
    <col min="9695" max="9697" width="10.140625" style="220" customWidth="1"/>
    <col min="9698" max="9698" width="16.28515625" style="220" customWidth="1"/>
    <col min="9699" max="9699" width="20.28515625" style="220" bestFit="1" customWidth="1"/>
    <col min="9700" max="9702" width="20.28515625" style="220" customWidth="1"/>
    <col min="9703" max="9703" width="20.28515625" style="220" bestFit="1" customWidth="1"/>
    <col min="9704" max="9704" width="15.42578125" style="220" customWidth="1"/>
    <col min="9705" max="9705" width="20.28515625" style="220" bestFit="1" customWidth="1"/>
    <col min="9706" max="9708" width="20.28515625" style="220" customWidth="1"/>
    <col min="9709" max="9709" width="20.28515625" style="220" bestFit="1" customWidth="1"/>
    <col min="9710" max="9710" width="15.42578125" style="220" customWidth="1"/>
    <col min="9711" max="9711" width="20.7109375" style="220" bestFit="1" customWidth="1"/>
    <col min="9712" max="9714" width="20.7109375" style="220" customWidth="1"/>
    <col min="9715" max="9715" width="20.7109375" style="220" bestFit="1" customWidth="1"/>
    <col min="9716" max="9716" width="12.140625" style="220" customWidth="1"/>
    <col min="9717" max="9945" width="8.7109375" style="220" customWidth="1"/>
    <col min="9946" max="9946" width="7.28515625" style="220" customWidth="1"/>
    <col min="9947" max="9947" width="18.28515625" style="220" customWidth="1"/>
    <col min="9948" max="9948" width="23.42578125" style="220" bestFit="1" customWidth="1"/>
    <col min="9949" max="9950" width="10.140625" style="220" bestFit="1" customWidth="1"/>
    <col min="9951" max="9953" width="10.140625" style="220" customWidth="1"/>
    <col min="9954" max="9954" width="16.28515625" style="220" customWidth="1"/>
    <col min="9955" max="9955" width="20.28515625" style="220" bestFit="1" customWidth="1"/>
    <col min="9956" max="9958" width="20.28515625" style="220" customWidth="1"/>
    <col min="9959" max="9959" width="20.28515625" style="220" bestFit="1" customWidth="1"/>
    <col min="9960" max="9960" width="15.42578125" style="220" customWidth="1"/>
    <col min="9961" max="9961" width="20.28515625" style="220" bestFit="1" customWidth="1"/>
    <col min="9962" max="9964" width="20.28515625" style="220" customWidth="1"/>
    <col min="9965" max="9965" width="20.28515625" style="220" bestFit="1" customWidth="1"/>
    <col min="9966" max="9966" width="15.42578125" style="220" customWidth="1"/>
    <col min="9967" max="9967" width="20.7109375" style="220" bestFit="1" customWidth="1"/>
    <col min="9968" max="9970" width="20.7109375" style="220" customWidth="1"/>
    <col min="9971" max="9971" width="20.7109375" style="220" bestFit="1" customWidth="1"/>
    <col min="9972" max="9972" width="12.140625" style="220" customWidth="1"/>
    <col min="9973" max="10201" width="8.7109375" style="220" customWidth="1"/>
    <col min="10202" max="10202" width="7.28515625" style="220" customWidth="1"/>
    <col min="10203" max="10203" width="18.28515625" style="220" customWidth="1"/>
    <col min="10204" max="10204" width="23.42578125" style="220" bestFit="1" customWidth="1"/>
    <col min="10205" max="10206" width="10.140625" style="220" bestFit="1" customWidth="1"/>
    <col min="10207" max="10209" width="10.140625" style="220" customWidth="1"/>
    <col min="10210" max="10210" width="16.28515625" style="220" customWidth="1"/>
    <col min="10211" max="10211" width="20.28515625" style="220" bestFit="1" customWidth="1"/>
    <col min="10212" max="10214" width="20.28515625" style="220" customWidth="1"/>
    <col min="10215" max="10215" width="20.28515625" style="220" bestFit="1" customWidth="1"/>
    <col min="10216" max="10216" width="15.42578125" style="220" customWidth="1"/>
    <col min="10217" max="10217" width="20.28515625" style="220" bestFit="1" customWidth="1"/>
    <col min="10218" max="10220" width="20.28515625" style="220" customWidth="1"/>
    <col min="10221" max="10221" width="20.28515625" style="220" bestFit="1" customWidth="1"/>
    <col min="10222" max="10222" width="15.42578125" style="220" customWidth="1"/>
    <col min="10223" max="10223" width="20.7109375" style="220" bestFit="1" customWidth="1"/>
    <col min="10224" max="10226" width="20.7109375" style="220" customWidth="1"/>
    <col min="10227" max="10227" width="20.7109375" style="220" bestFit="1" customWidth="1"/>
    <col min="10228" max="10228" width="12.140625" style="220" customWidth="1"/>
    <col min="10229" max="10457" width="8.7109375" style="220" customWidth="1"/>
    <col min="10458" max="10458" width="7.28515625" style="220" customWidth="1"/>
    <col min="10459" max="10459" width="18.28515625" style="220" customWidth="1"/>
    <col min="10460" max="10460" width="23.42578125" style="220" bestFit="1" customWidth="1"/>
    <col min="10461" max="10462" width="10.140625" style="220" bestFit="1" customWidth="1"/>
    <col min="10463" max="10465" width="10.140625" style="220" customWidth="1"/>
    <col min="10466" max="10466" width="16.28515625" style="220" customWidth="1"/>
    <col min="10467" max="10467" width="20.28515625" style="220" bestFit="1" customWidth="1"/>
    <col min="10468" max="10470" width="20.28515625" style="220" customWidth="1"/>
    <col min="10471" max="10471" width="20.28515625" style="220" bestFit="1" customWidth="1"/>
    <col min="10472" max="10472" width="15.42578125" style="220" customWidth="1"/>
    <col min="10473" max="10473" width="20.28515625" style="220" bestFit="1" customWidth="1"/>
    <col min="10474" max="10476" width="20.28515625" style="220" customWidth="1"/>
    <col min="10477" max="10477" width="20.28515625" style="220" bestFit="1" customWidth="1"/>
    <col min="10478" max="10478" width="15.42578125" style="220" customWidth="1"/>
    <col min="10479" max="10479" width="20.7109375" style="220" bestFit="1" customWidth="1"/>
    <col min="10480" max="10482" width="20.7109375" style="220" customWidth="1"/>
    <col min="10483" max="10483" width="20.7109375" style="220" bestFit="1" customWidth="1"/>
    <col min="10484" max="10484" width="12.140625" style="220" customWidth="1"/>
    <col min="10485" max="10713" width="8.7109375" style="220" customWidth="1"/>
    <col min="10714" max="10714" width="7.28515625" style="220" customWidth="1"/>
    <col min="10715" max="10715" width="18.28515625" style="220" customWidth="1"/>
    <col min="10716" max="10716" width="23.42578125" style="220" bestFit="1" customWidth="1"/>
    <col min="10717" max="10718" width="10.140625" style="220" bestFit="1" customWidth="1"/>
    <col min="10719" max="10721" width="10.140625" style="220" customWidth="1"/>
    <col min="10722" max="10722" width="16.28515625" style="220" customWidth="1"/>
    <col min="10723" max="10723" width="20.28515625" style="220" bestFit="1" customWidth="1"/>
    <col min="10724" max="10726" width="20.28515625" style="220" customWidth="1"/>
    <col min="10727" max="10727" width="20.28515625" style="220" bestFit="1" customWidth="1"/>
    <col min="10728" max="10728" width="15.42578125" style="220" customWidth="1"/>
    <col min="10729" max="10729" width="20.28515625" style="220" bestFit="1" customWidth="1"/>
    <col min="10730" max="10732" width="20.28515625" style="220" customWidth="1"/>
    <col min="10733" max="10733" width="20.28515625" style="220" bestFit="1" customWidth="1"/>
    <col min="10734" max="10734" width="15.42578125" style="220" customWidth="1"/>
    <col min="10735" max="10735" width="20.7109375" style="220" bestFit="1" customWidth="1"/>
    <col min="10736" max="10738" width="20.7109375" style="220" customWidth="1"/>
    <col min="10739" max="10739" width="20.7109375" style="220" bestFit="1" customWidth="1"/>
    <col min="10740" max="10740" width="12.140625" style="220" customWidth="1"/>
    <col min="10741" max="10969" width="8.7109375" style="220" customWidth="1"/>
    <col min="10970" max="10970" width="7.28515625" style="220" customWidth="1"/>
    <col min="10971" max="10971" width="18.28515625" style="220" customWidth="1"/>
    <col min="10972" max="10972" width="23.42578125" style="220" bestFit="1" customWidth="1"/>
    <col min="10973" max="10974" width="10.140625" style="220" bestFit="1" customWidth="1"/>
    <col min="10975" max="10977" width="10.140625" style="220" customWidth="1"/>
    <col min="10978" max="10978" width="16.28515625" style="220" customWidth="1"/>
    <col min="10979" max="10979" width="20.28515625" style="220" bestFit="1" customWidth="1"/>
    <col min="10980" max="10982" width="20.28515625" style="220" customWidth="1"/>
    <col min="10983" max="10983" width="20.28515625" style="220" bestFit="1" customWidth="1"/>
    <col min="10984" max="10984" width="15.42578125" style="220" customWidth="1"/>
    <col min="10985" max="10985" width="20.28515625" style="220" bestFit="1" customWidth="1"/>
    <col min="10986" max="10988" width="20.28515625" style="220" customWidth="1"/>
    <col min="10989" max="10989" width="20.28515625" style="220" bestFit="1" customWidth="1"/>
    <col min="10990" max="10990" width="15.42578125" style="220" customWidth="1"/>
    <col min="10991" max="10991" width="20.7109375" style="220" bestFit="1" customWidth="1"/>
    <col min="10992" max="10994" width="20.7109375" style="220" customWidth="1"/>
    <col min="10995" max="10995" width="20.7109375" style="220" bestFit="1" customWidth="1"/>
    <col min="10996" max="10996" width="12.140625" style="220" customWidth="1"/>
    <col min="10997" max="11225" width="8.7109375" style="220" customWidth="1"/>
    <col min="11226" max="11226" width="7.28515625" style="220" customWidth="1"/>
    <col min="11227" max="11227" width="18.28515625" style="220" customWidth="1"/>
    <col min="11228" max="11228" width="23.42578125" style="220" bestFit="1" customWidth="1"/>
    <col min="11229" max="11230" width="10.140625" style="220" bestFit="1" customWidth="1"/>
    <col min="11231" max="11233" width="10.140625" style="220" customWidth="1"/>
    <col min="11234" max="11234" width="16.28515625" style="220" customWidth="1"/>
    <col min="11235" max="11235" width="20.28515625" style="220" bestFit="1" customWidth="1"/>
    <col min="11236" max="11238" width="20.28515625" style="220" customWidth="1"/>
    <col min="11239" max="11239" width="20.28515625" style="220" bestFit="1" customWidth="1"/>
    <col min="11240" max="11240" width="15.42578125" style="220" customWidth="1"/>
    <col min="11241" max="11241" width="20.28515625" style="220" bestFit="1" customWidth="1"/>
    <col min="11242" max="11244" width="20.28515625" style="220" customWidth="1"/>
    <col min="11245" max="11245" width="20.28515625" style="220" bestFit="1" customWidth="1"/>
    <col min="11246" max="11246" width="15.42578125" style="220" customWidth="1"/>
    <col min="11247" max="11247" width="20.7109375" style="220" bestFit="1" customWidth="1"/>
    <col min="11248" max="11250" width="20.7109375" style="220" customWidth="1"/>
    <col min="11251" max="11251" width="20.7109375" style="220" bestFit="1" customWidth="1"/>
    <col min="11252" max="11252" width="12.140625" style="220" customWidth="1"/>
    <col min="11253" max="11481" width="8.7109375" style="220" customWidth="1"/>
    <col min="11482" max="11482" width="7.28515625" style="220" customWidth="1"/>
    <col min="11483" max="11483" width="18.28515625" style="220" customWidth="1"/>
    <col min="11484" max="11484" width="23.42578125" style="220" bestFit="1" customWidth="1"/>
    <col min="11485" max="11486" width="10.140625" style="220" bestFit="1" customWidth="1"/>
    <col min="11487" max="11489" width="10.140625" style="220" customWidth="1"/>
    <col min="11490" max="11490" width="16.28515625" style="220" customWidth="1"/>
    <col min="11491" max="11491" width="20.28515625" style="220" bestFit="1" customWidth="1"/>
    <col min="11492" max="11494" width="20.28515625" style="220" customWidth="1"/>
    <col min="11495" max="11495" width="20.28515625" style="220" bestFit="1" customWidth="1"/>
    <col min="11496" max="11496" width="15.42578125" style="220" customWidth="1"/>
    <col min="11497" max="11497" width="20.28515625" style="220" bestFit="1" customWidth="1"/>
    <col min="11498" max="11500" width="20.28515625" style="220" customWidth="1"/>
    <col min="11501" max="11501" width="20.28515625" style="220" bestFit="1" customWidth="1"/>
    <col min="11502" max="11502" width="15.42578125" style="220" customWidth="1"/>
    <col min="11503" max="11503" width="20.7109375" style="220" bestFit="1" customWidth="1"/>
    <col min="11504" max="11506" width="20.7109375" style="220" customWidth="1"/>
    <col min="11507" max="11507" width="20.7109375" style="220" bestFit="1" customWidth="1"/>
    <col min="11508" max="11508" width="12.140625" style="220" customWidth="1"/>
    <col min="11509" max="11737" width="8.7109375" style="220" customWidth="1"/>
    <col min="11738" max="11738" width="7.28515625" style="220" customWidth="1"/>
    <col min="11739" max="11739" width="18.28515625" style="220" customWidth="1"/>
    <col min="11740" max="11740" width="23.42578125" style="220" bestFit="1" customWidth="1"/>
    <col min="11741" max="11742" width="10.140625" style="220" bestFit="1" customWidth="1"/>
    <col min="11743" max="11745" width="10.140625" style="220" customWidth="1"/>
    <col min="11746" max="11746" width="16.28515625" style="220" customWidth="1"/>
    <col min="11747" max="11747" width="20.28515625" style="220" bestFit="1" customWidth="1"/>
    <col min="11748" max="11750" width="20.28515625" style="220" customWidth="1"/>
    <col min="11751" max="11751" width="20.28515625" style="220" bestFit="1" customWidth="1"/>
    <col min="11752" max="11752" width="15.42578125" style="220" customWidth="1"/>
    <col min="11753" max="11753" width="20.28515625" style="220" bestFit="1" customWidth="1"/>
    <col min="11754" max="11756" width="20.28515625" style="220" customWidth="1"/>
    <col min="11757" max="11757" width="20.28515625" style="220" bestFit="1" customWidth="1"/>
    <col min="11758" max="11758" width="15.42578125" style="220" customWidth="1"/>
    <col min="11759" max="11759" width="20.7109375" style="220" bestFit="1" customWidth="1"/>
    <col min="11760" max="11762" width="20.7109375" style="220" customWidth="1"/>
    <col min="11763" max="11763" width="20.7109375" style="220" bestFit="1" customWidth="1"/>
    <col min="11764" max="11764" width="12.140625" style="220" customWidth="1"/>
    <col min="11765" max="11993" width="8.7109375" style="220" customWidth="1"/>
    <col min="11994" max="11994" width="7.28515625" style="220" customWidth="1"/>
    <col min="11995" max="11995" width="18.28515625" style="220" customWidth="1"/>
    <col min="11996" max="11996" width="23.42578125" style="220" bestFit="1" customWidth="1"/>
    <col min="11997" max="11998" width="10.140625" style="220" bestFit="1" customWidth="1"/>
    <col min="11999" max="12001" width="10.140625" style="220" customWidth="1"/>
    <col min="12002" max="12002" width="16.28515625" style="220" customWidth="1"/>
    <col min="12003" max="12003" width="20.28515625" style="220" bestFit="1" customWidth="1"/>
    <col min="12004" max="12006" width="20.28515625" style="220" customWidth="1"/>
    <col min="12007" max="12007" width="20.28515625" style="220" bestFit="1" customWidth="1"/>
    <col min="12008" max="12008" width="15.42578125" style="220" customWidth="1"/>
    <col min="12009" max="12009" width="20.28515625" style="220" bestFit="1" customWidth="1"/>
    <col min="12010" max="12012" width="20.28515625" style="220" customWidth="1"/>
    <col min="12013" max="12013" width="20.28515625" style="220" bestFit="1" customWidth="1"/>
    <col min="12014" max="12014" width="15.42578125" style="220" customWidth="1"/>
    <col min="12015" max="12015" width="20.7109375" style="220" bestFit="1" customWidth="1"/>
    <col min="12016" max="12018" width="20.7109375" style="220" customWidth="1"/>
    <col min="12019" max="12019" width="20.7109375" style="220" bestFit="1" customWidth="1"/>
    <col min="12020" max="12020" width="12.140625" style="220" customWidth="1"/>
    <col min="12021" max="12249" width="8.7109375" style="220" customWidth="1"/>
    <col min="12250" max="12250" width="7.28515625" style="220" customWidth="1"/>
    <col min="12251" max="12251" width="18.28515625" style="220" customWidth="1"/>
    <col min="12252" max="12252" width="23.42578125" style="220" bestFit="1" customWidth="1"/>
    <col min="12253" max="12254" width="10.140625" style="220" bestFit="1" customWidth="1"/>
    <col min="12255" max="12257" width="10.140625" style="220" customWidth="1"/>
    <col min="12258" max="12258" width="16.28515625" style="220" customWidth="1"/>
    <col min="12259" max="12259" width="20.28515625" style="220" bestFit="1" customWidth="1"/>
    <col min="12260" max="12262" width="20.28515625" style="220" customWidth="1"/>
    <col min="12263" max="12263" width="20.28515625" style="220" bestFit="1" customWidth="1"/>
    <col min="12264" max="12264" width="15.42578125" style="220" customWidth="1"/>
    <col min="12265" max="12265" width="20.28515625" style="220" bestFit="1" customWidth="1"/>
    <col min="12266" max="12268" width="20.28515625" style="220" customWidth="1"/>
    <col min="12269" max="12269" width="20.28515625" style="220" bestFit="1" customWidth="1"/>
    <col min="12270" max="12270" width="15.42578125" style="220" customWidth="1"/>
    <col min="12271" max="12271" width="20.7109375" style="220" bestFit="1" customWidth="1"/>
    <col min="12272" max="12274" width="20.7109375" style="220" customWidth="1"/>
    <col min="12275" max="12275" width="20.7109375" style="220" bestFit="1" customWidth="1"/>
    <col min="12276" max="12276" width="12.140625" style="220" customWidth="1"/>
    <col min="12277" max="12505" width="8.7109375" style="220" customWidth="1"/>
    <col min="12506" max="12506" width="7.28515625" style="220" customWidth="1"/>
    <col min="12507" max="12507" width="18.28515625" style="220" customWidth="1"/>
    <col min="12508" max="12508" width="23.42578125" style="220" bestFit="1" customWidth="1"/>
    <col min="12509" max="12510" width="10.140625" style="220" bestFit="1" customWidth="1"/>
    <col min="12511" max="12513" width="10.140625" style="220" customWidth="1"/>
    <col min="12514" max="12514" width="16.28515625" style="220" customWidth="1"/>
    <col min="12515" max="12515" width="20.28515625" style="220" bestFit="1" customWidth="1"/>
    <col min="12516" max="12518" width="20.28515625" style="220" customWidth="1"/>
    <col min="12519" max="12519" width="20.28515625" style="220" bestFit="1" customWidth="1"/>
    <col min="12520" max="12520" width="15.42578125" style="220" customWidth="1"/>
    <col min="12521" max="12521" width="20.28515625" style="220" bestFit="1" customWidth="1"/>
    <col min="12522" max="12524" width="20.28515625" style="220" customWidth="1"/>
    <col min="12525" max="12525" width="20.28515625" style="220" bestFit="1" customWidth="1"/>
    <col min="12526" max="12526" width="15.42578125" style="220" customWidth="1"/>
    <col min="12527" max="12527" width="20.7109375" style="220" bestFit="1" customWidth="1"/>
    <col min="12528" max="12530" width="20.7109375" style="220" customWidth="1"/>
    <col min="12531" max="12531" width="20.7109375" style="220" bestFit="1" customWidth="1"/>
    <col min="12532" max="12532" width="12.140625" style="220" customWidth="1"/>
    <col min="12533" max="12761" width="8.7109375" style="220" customWidth="1"/>
    <col min="12762" max="12762" width="7.28515625" style="220" customWidth="1"/>
    <col min="12763" max="12763" width="18.28515625" style="220" customWidth="1"/>
    <col min="12764" max="12764" width="23.42578125" style="220" bestFit="1" customWidth="1"/>
    <col min="12765" max="12766" width="10.140625" style="220" bestFit="1" customWidth="1"/>
    <col min="12767" max="12769" width="10.140625" style="220" customWidth="1"/>
    <col min="12770" max="12770" width="16.28515625" style="220" customWidth="1"/>
    <col min="12771" max="12771" width="20.28515625" style="220" bestFit="1" customWidth="1"/>
    <col min="12772" max="12774" width="20.28515625" style="220" customWidth="1"/>
    <col min="12775" max="12775" width="20.28515625" style="220" bestFit="1" customWidth="1"/>
    <col min="12776" max="12776" width="15.42578125" style="220" customWidth="1"/>
    <col min="12777" max="12777" width="20.28515625" style="220" bestFit="1" customWidth="1"/>
    <col min="12778" max="12780" width="20.28515625" style="220" customWidth="1"/>
    <col min="12781" max="12781" width="20.28515625" style="220" bestFit="1" customWidth="1"/>
    <col min="12782" max="12782" width="15.42578125" style="220" customWidth="1"/>
    <col min="12783" max="12783" width="20.7109375" style="220" bestFit="1" customWidth="1"/>
    <col min="12784" max="12786" width="20.7109375" style="220" customWidth="1"/>
    <col min="12787" max="12787" width="20.7109375" style="220" bestFit="1" customWidth="1"/>
    <col min="12788" max="12788" width="12.140625" style="220" customWidth="1"/>
    <col min="12789" max="13017" width="8.7109375" style="220" customWidth="1"/>
    <col min="13018" max="13018" width="7.28515625" style="220" customWidth="1"/>
    <col min="13019" max="13019" width="18.28515625" style="220" customWidth="1"/>
    <col min="13020" max="13020" width="23.42578125" style="220" bestFit="1" customWidth="1"/>
    <col min="13021" max="13022" width="10.140625" style="220" bestFit="1" customWidth="1"/>
    <col min="13023" max="13025" width="10.140625" style="220" customWidth="1"/>
    <col min="13026" max="13026" width="16.28515625" style="220" customWidth="1"/>
    <col min="13027" max="13027" width="20.28515625" style="220" bestFit="1" customWidth="1"/>
    <col min="13028" max="13030" width="20.28515625" style="220" customWidth="1"/>
    <col min="13031" max="13031" width="20.28515625" style="220" bestFit="1" customWidth="1"/>
    <col min="13032" max="13032" width="15.42578125" style="220" customWidth="1"/>
    <col min="13033" max="13033" width="20.28515625" style="220" bestFit="1" customWidth="1"/>
    <col min="13034" max="13036" width="20.28515625" style="220" customWidth="1"/>
    <col min="13037" max="13037" width="20.28515625" style="220" bestFit="1" customWidth="1"/>
    <col min="13038" max="13038" width="15.42578125" style="220" customWidth="1"/>
    <col min="13039" max="13039" width="20.7109375" style="220" bestFit="1" customWidth="1"/>
    <col min="13040" max="13042" width="20.7109375" style="220" customWidth="1"/>
    <col min="13043" max="13043" width="20.7109375" style="220" bestFit="1" customWidth="1"/>
    <col min="13044" max="13044" width="12.140625" style="220" customWidth="1"/>
    <col min="13045" max="13273" width="8.7109375" style="220" customWidth="1"/>
    <col min="13274" max="13274" width="7.28515625" style="220" customWidth="1"/>
    <col min="13275" max="13275" width="18.28515625" style="220" customWidth="1"/>
    <col min="13276" max="13276" width="23.42578125" style="220" bestFit="1" customWidth="1"/>
    <col min="13277" max="13278" width="10.140625" style="220" bestFit="1" customWidth="1"/>
    <col min="13279" max="13281" width="10.140625" style="220" customWidth="1"/>
    <col min="13282" max="13282" width="16.28515625" style="220" customWidth="1"/>
    <col min="13283" max="13283" width="20.28515625" style="220" bestFit="1" customWidth="1"/>
    <col min="13284" max="13286" width="20.28515625" style="220" customWidth="1"/>
    <col min="13287" max="13287" width="20.28515625" style="220" bestFit="1" customWidth="1"/>
    <col min="13288" max="13288" width="15.42578125" style="220" customWidth="1"/>
    <col min="13289" max="13289" width="20.28515625" style="220" bestFit="1" customWidth="1"/>
    <col min="13290" max="13292" width="20.28515625" style="220" customWidth="1"/>
    <col min="13293" max="13293" width="20.28515625" style="220" bestFit="1" customWidth="1"/>
    <col min="13294" max="13294" width="15.42578125" style="220" customWidth="1"/>
    <col min="13295" max="13295" width="20.7109375" style="220" bestFit="1" customWidth="1"/>
    <col min="13296" max="13298" width="20.7109375" style="220" customWidth="1"/>
    <col min="13299" max="13299" width="20.7109375" style="220" bestFit="1" customWidth="1"/>
    <col min="13300" max="13300" width="12.140625" style="220" customWidth="1"/>
    <col min="13301" max="13529" width="8.7109375" style="220" customWidth="1"/>
    <col min="13530" max="13530" width="7.28515625" style="220" customWidth="1"/>
    <col min="13531" max="13531" width="18.28515625" style="220" customWidth="1"/>
    <col min="13532" max="13532" width="23.42578125" style="220" bestFit="1" customWidth="1"/>
    <col min="13533" max="13534" width="10.140625" style="220" bestFit="1" customWidth="1"/>
    <col min="13535" max="13537" width="10.140625" style="220" customWidth="1"/>
    <col min="13538" max="13538" width="16.28515625" style="220" customWidth="1"/>
    <col min="13539" max="13539" width="20.28515625" style="220" bestFit="1" customWidth="1"/>
    <col min="13540" max="13542" width="20.28515625" style="220" customWidth="1"/>
    <col min="13543" max="13543" width="20.28515625" style="220" bestFit="1" customWidth="1"/>
    <col min="13544" max="13544" width="15.42578125" style="220" customWidth="1"/>
    <col min="13545" max="13545" width="20.28515625" style="220" bestFit="1" customWidth="1"/>
    <col min="13546" max="13548" width="20.28515625" style="220" customWidth="1"/>
    <col min="13549" max="13549" width="20.28515625" style="220" bestFit="1" customWidth="1"/>
    <col min="13550" max="13550" width="15.42578125" style="220" customWidth="1"/>
    <col min="13551" max="13551" width="20.7109375" style="220" bestFit="1" customWidth="1"/>
    <col min="13552" max="13554" width="20.7109375" style="220" customWidth="1"/>
    <col min="13555" max="13555" width="20.7109375" style="220" bestFit="1" customWidth="1"/>
    <col min="13556" max="13556" width="12.140625" style="220" customWidth="1"/>
    <col min="13557" max="13785" width="8.7109375" style="220" customWidth="1"/>
    <col min="13786" max="13786" width="7.28515625" style="220" customWidth="1"/>
    <col min="13787" max="13787" width="18.28515625" style="220" customWidth="1"/>
    <col min="13788" max="13788" width="23.42578125" style="220" bestFit="1" customWidth="1"/>
    <col min="13789" max="13790" width="10.140625" style="220" bestFit="1" customWidth="1"/>
    <col min="13791" max="13793" width="10.140625" style="220" customWidth="1"/>
    <col min="13794" max="13794" width="16.28515625" style="220" customWidth="1"/>
    <col min="13795" max="13795" width="20.28515625" style="220" bestFit="1" customWidth="1"/>
    <col min="13796" max="13798" width="20.28515625" style="220" customWidth="1"/>
    <col min="13799" max="13799" width="20.28515625" style="220" bestFit="1" customWidth="1"/>
    <col min="13800" max="13800" width="15.42578125" style="220" customWidth="1"/>
    <col min="13801" max="13801" width="20.28515625" style="220" bestFit="1" customWidth="1"/>
    <col min="13802" max="13804" width="20.28515625" style="220" customWidth="1"/>
    <col min="13805" max="13805" width="20.28515625" style="220" bestFit="1" customWidth="1"/>
    <col min="13806" max="13806" width="15.42578125" style="220" customWidth="1"/>
    <col min="13807" max="13807" width="20.7109375" style="220" bestFit="1" customWidth="1"/>
    <col min="13808" max="13810" width="20.7109375" style="220" customWidth="1"/>
    <col min="13811" max="13811" width="20.7109375" style="220" bestFit="1" customWidth="1"/>
    <col min="13812" max="13812" width="12.140625" style="220" customWidth="1"/>
    <col min="13813" max="14041" width="8.7109375" style="220" customWidth="1"/>
    <col min="14042" max="14042" width="7.28515625" style="220" customWidth="1"/>
    <col min="14043" max="14043" width="18.28515625" style="220" customWidth="1"/>
    <col min="14044" max="14044" width="23.42578125" style="220" bestFit="1" customWidth="1"/>
    <col min="14045" max="14046" width="10.140625" style="220" bestFit="1" customWidth="1"/>
    <col min="14047" max="14049" width="10.140625" style="220" customWidth="1"/>
    <col min="14050" max="14050" width="16.28515625" style="220" customWidth="1"/>
    <col min="14051" max="14051" width="20.28515625" style="220" bestFit="1" customWidth="1"/>
    <col min="14052" max="14054" width="20.28515625" style="220" customWidth="1"/>
    <col min="14055" max="14055" width="20.28515625" style="220" bestFit="1" customWidth="1"/>
    <col min="14056" max="14056" width="15.42578125" style="220" customWidth="1"/>
    <col min="14057" max="14057" width="20.28515625" style="220" bestFit="1" customWidth="1"/>
    <col min="14058" max="14060" width="20.28515625" style="220" customWidth="1"/>
    <col min="14061" max="14061" width="20.28515625" style="220" bestFit="1" customWidth="1"/>
    <col min="14062" max="14062" width="15.42578125" style="220" customWidth="1"/>
    <col min="14063" max="14063" width="20.7109375" style="220" bestFit="1" customWidth="1"/>
    <col min="14064" max="14066" width="20.7109375" style="220" customWidth="1"/>
    <col min="14067" max="14067" width="20.7109375" style="220" bestFit="1" customWidth="1"/>
    <col min="14068" max="14068" width="12.140625" style="220" customWidth="1"/>
    <col min="14069" max="14297" width="8.7109375" style="220" customWidth="1"/>
    <col min="14298" max="14298" width="7.28515625" style="220" customWidth="1"/>
    <col min="14299" max="14299" width="18.28515625" style="220" customWidth="1"/>
    <col min="14300" max="14300" width="23.42578125" style="220" bestFit="1" customWidth="1"/>
    <col min="14301" max="14302" width="10.140625" style="220" bestFit="1" customWidth="1"/>
    <col min="14303" max="14305" width="10.140625" style="220" customWidth="1"/>
    <col min="14306" max="14306" width="16.28515625" style="220" customWidth="1"/>
    <col min="14307" max="14307" width="20.28515625" style="220" bestFit="1" customWidth="1"/>
    <col min="14308" max="14310" width="20.28515625" style="220" customWidth="1"/>
    <col min="14311" max="14311" width="20.28515625" style="220" bestFit="1" customWidth="1"/>
    <col min="14312" max="14312" width="15.42578125" style="220" customWidth="1"/>
    <col min="14313" max="14313" width="20.28515625" style="220" bestFit="1" customWidth="1"/>
    <col min="14314" max="14316" width="20.28515625" style="220" customWidth="1"/>
    <col min="14317" max="14317" width="20.28515625" style="220" bestFit="1" customWidth="1"/>
    <col min="14318" max="14318" width="15.42578125" style="220" customWidth="1"/>
    <col min="14319" max="14319" width="20.7109375" style="220" bestFit="1" customWidth="1"/>
    <col min="14320" max="14322" width="20.7109375" style="220" customWidth="1"/>
    <col min="14323" max="14323" width="20.7109375" style="220" bestFit="1" customWidth="1"/>
    <col min="14324" max="14324" width="12.140625" style="220" customWidth="1"/>
    <col min="14325" max="14553" width="8.7109375" style="220" customWidth="1"/>
    <col min="14554" max="14554" width="7.28515625" style="220" customWidth="1"/>
    <col min="14555" max="14555" width="18.28515625" style="220" customWidth="1"/>
    <col min="14556" max="14556" width="23.42578125" style="220" bestFit="1" customWidth="1"/>
    <col min="14557" max="14558" width="10.140625" style="220" bestFit="1" customWidth="1"/>
    <col min="14559" max="14561" width="10.140625" style="220" customWidth="1"/>
    <col min="14562" max="14562" width="16.28515625" style="220" customWidth="1"/>
    <col min="14563" max="14563" width="20.28515625" style="220" bestFit="1" customWidth="1"/>
    <col min="14564" max="14566" width="20.28515625" style="220" customWidth="1"/>
    <col min="14567" max="14567" width="20.28515625" style="220" bestFit="1" customWidth="1"/>
    <col min="14568" max="14568" width="15.42578125" style="220" customWidth="1"/>
    <col min="14569" max="14569" width="20.28515625" style="220" bestFit="1" customWidth="1"/>
    <col min="14570" max="14572" width="20.28515625" style="220" customWidth="1"/>
    <col min="14573" max="14573" width="20.28515625" style="220" bestFit="1" customWidth="1"/>
    <col min="14574" max="14574" width="15.42578125" style="220" customWidth="1"/>
    <col min="14575" max="14575" width="20.7109375" style="220" bestFit="1" customWidth="1"/>
    <col min="14576" max="14578" width="20.7109375" style="220" customWidth="1"/>
    <col min="14579" max="14579" width="20.7109375" style="220" bestFit="1" customWidth="1"/>
    <col min="14580" max="14580" width="12.140625" style="220" customWidth="1"/>
    <col min="14581" max="14809" width="8.7109375" style="220" customWidth="1"/>
    <col min="14810" max="14810" width="7.28515625" style="220" customWidth="1"/>
    <col min="14811" max="14811" width="18.28515625" style="220" customWidth="1"/>
    <col min="14812" max="14812" width="23.42578125" style="220" bestFit="1" customWidth="1"/>
    <col min="14813" max="14814" width="10.140625" style="220" bestFit="1" customWidth="1"/>
    <col min="14815" max="14817" width="10.140625" style="220" customWidth="1"/>
    <col min="14818" max="14818" width="16.28515625" style="220" customWidth="1"/>
    <col min="14819" max="14819" width="20.28515625" style="220" bestFit="1" customWidth="1"/>
    <col min="14820" max="14822" width="20.28515625" style="220" customWidth="1"/>
    <col min="14823" max="14823" width="20.28515625" style="220" bestFit="1" customWidth="1"/>
    <col min="14824" max="14824" width="15.42578125" style="220" customWidth="1"/>
    <col min="14825" max="14825" width="20.28515625" style="220" bestFit="1" customWidth="1"/>
    <col min="14826" max="14828" width="20.28515625" style="220" customWidth="1"/>
    <col min="14829" max="14829" width="20.28515625" style="220" bestFit="1" customWidth="1"/>
    <col min="14830" max="14830" width="15.42578125" style="220" customWidth="1"/>
    <col min="14831" max="14831" width="20.7109375" style="220" bestFit="1" customWidth="1"/>
    <col min="14832" max="14834" width="20.7109375" style="220" customWidth="1"/>
    <col min="14835" max="14835" width="20.7109375" style="220" bestFit="1" customWidth="1"/>
    <col min="14836" max="14836" width="12.140625" style="220" customWidth="1"/>
    <col min="14837" max="15065" width="8.7109375" style="220" customWidth="1"/>
    <col min="15066" max="15066" width="7.28515625" style="220" customWidth="1"/>
    <col min="15067" max="15067" width="18.28515625" style="220" customWidth="1"/>
    <col min="15068" max="15068" width="23.42578125" style="220" bestFit="1" customWidth="1"/>
    <col min="15069" max="15070" width="10.140625" style="220" bestFit="1" customWidth="1"/>
    <col min="15071" max="15073" width="10.140625" style="220" customWidth="1"/>
    <col min="15074" max="15074" width="16.28515625" style="220" customWidth="1"/>
    <col min="15075" max="15075" width="20.28515625" style="220" bestFit="1" customWidth="1"/>
    <col min="15076" max="15078" width="20.28515625" style="220" customWidth="1"/>
    <col min="15079" max="15079" width="20.28515625" style="220" bestFit="1" customWidth="1"/>
    <col min="15080" max="15080" width="15.42578125" style="220" customWidth="1"/>
    <col min="15081" max="15081" width="20.28515625" style="220" bestFit="1" customWidth="1"/>
    <col min="15082" max="15084" width="20.28515625" style="220" customWidth="1"/>
    <col min="15085" max="15085" width="20.28515625" style="220" bestFit="1" customWidth="1"/>
    <col min="15086" max="15086" width="15.42578125" style="220" customWidth="1"/>
    <col min="15087" max="15087" width="20.7109375" style="220" bestFit="1" customWidth="1"/>
    <col min="15088" max="15090" width="20.7109375" style="220" customWidth="1"/>
    <col min="15091" max="15091" width="20.7109375" style="220" bestFit="1" customWidth="1"/>
    <col min="15092" max="15092" width="12.140625" style="220" customWidth="1"/>
    <col min="15093" max="15321" width="8.7109375" style="220" customWidth="1"/>
    <col min="15322" max="15322" width="7.28515625" style="220" customWidth="1"/>
    <col min="15323" max="15323" width="18.28515625" style="220" customWidth="1"/>
    <col min="15324" max="15324" width="23.42578125" style="220" bestFit="1" customWidth="1"/>
    <col min="15325" max="15326" width="10.140625" style="220" bestFit="1" customWidth="1"/>
    <col min="15327" max="15329" width="10.140625" style="220" customWidth="1"/>
    <col min="15330" max="15330" width="16.28515625" style="220" customWidth="1"/>
    <col min="15331" max="15331" width="20.28515625" style="220" bestFit="1" customWidth="1"/>
    <col min="15332" max="15334" width="20.28515625" style="220" customWidth="1"/>
    <col min="15335" max="15335" width="20.28515625" style="220" bestFit="1" customWidth="1"/>
    <col min="15336" max="15336" width="15.42578125" style="220" customWidth="1"/>
    <col min="15337" max="15337" width="20.28515625" style="220" bestFit="1" customWidth="1"/>
    <col min="15338" max="15340" width="20.28515625" style="220" customWidth="1"/>
    <col min="15341" max="15341" width="20.28515625" style="220" bestFit="1" customWidth="1"/>
    <col min="15342" max="15342" width="15.42578125" style="220" customWidth="1"/>
    <col min="15343" max="15343" width="20.7109375" style="220" bestFit="1" customWidth="1"/>
    <col min="15344" max="15346" width="20.7109375" style="220" customWidth="1"/>
    <col min="15347" max="15347" width="20.7109375" style="220" bestFit="1" customWidth="1"/>
    <col min="15348" max="15348" width="12.140625" style="220" customWidth="1"/>
    <col min="15349" max="15577" width="8.7109375" style="220" customWidth="1"/>
    <col min="15578" max="15578" width="7.28515625" style="220" customWidth="1"/>
    <col min="15579" max="15579" width="18.28515625" style="220" customWidth="1"/>
    <col min="15580" max="15580" width="23.42578125" style="220" bestFit="1" customWidth="1"/>
    <col min="15581" max="15582" width="10.140625" style="220" bestFit="1" customWidth="1"/>
    <col min="15583" max="15585" width="10.140625" style="220" customWidth="1"/>
    <col min="15586" max="15586" width="16.28515625" style="220" customWidth="1"/>
    <col min="15587" max="15587" width="20.28515625" style="220" bestFit="1" customWidth="1"/>
    <col min="15588" max="15590" width="20.28515625" style="220" customWidth="1"/>
    <col min="15591" max="15591" width="20.28515625" style="220" bestFit="1" customWidth="1"/>
    <col min="15592" max="15592" width="15.42578125" style="220" customWidth="1"/>
    <col min="15593" max="15593" width="20.28515625" style="220" bestFit="1" customWidth="1"/>
    <col min="15594" max="15596" width="20.28515625" style="220" customWidth="1"/>
    <col min="15597" max="15597" width="20.28515625" style="220" bestFit="1" customWidth="1"/>
    <col min="15598" max="15598" width="15.42578125" style="220" customWidth="1"/>
    <col min="15599" max="15599" width="20.7109375" style="220" bestFit="1" customWidth="1"/>
    <col min="15600" max="15602" width="20.7109375" style="220" customWidth="1"/>
    <col min="15603" max="15603" width="20.7109375" style="220" bestFit="1" customWidth="1"/>
    <col min="15604" max="15604" width="12.140625" style="220" customWidth="1"/>
    <col min="15605" max="15833" width="8.7109375" style="220" customWidth="1"/>
    <col min="15834" max="15834" width="7.28515625" style="220" customWidth="1"/>
    <col min="15835" max="15835" width="18.28515625" style="220" customWidth="1"/>
    <col min="15836" max="15836" width="23.42578125" style="220" bestFit="1" customWidth="1"/>
    <col min="15837" max="15838" width="10.140625" style="220" bestFit="1" customWidth="1"/>
    <col min="15839" max="15841" width="10.140625" style="220" customWidth="1"/>
    <col min="15842" max="15842" width="16.28515625" style="220" customWidth="1"/>
    <col min="15843" max="15843" width="20.28515625" style="220" bestFit="1" customWidth="1"/>
    <col min="15844" max="15846" width="20.28515625" style="220" customWidth="1"/>
    <col min="15847" max="15847" width="20.28515625" style="220" bestFit="1" customWidth="1"/>
    <col min="15848" max="15848" width="15.42578125" style="220" customWidth="1"/>
    <col min="15849" max="15849" width="20.28515625" style="220" bestFit="1" customWidth="1"/>
    <col min="15850" max="15852" width="20.28515625" style="220" customWidth="1"/>
    <col min="15853" max="15853" width="20.28515625" style="220" bestFit="1" customWidth="1"/>
    <col min="15854" max="15854" width="15.42578125" style="220" customWidth="1"/>
    <col min="15855" max="15855" width="20.7109375" style="220" bestFit="1" customWidth="1"/>
    <col min="15856" max="15858" width="20.7109375" style="220" customWidth="1"/>
    <col min="15859" max="15859" width="20.7109375" style="220" bestFit="1" customWidth="1"/>
    <col min="15860" max="15860" width="12.140625" style="220" customWidth="1"/>
    <col min="15861" max="16089" width="8.7109375" style="220" customWidth="1"/>
    <col min="16090" max="16090" width="7.28515625" style="220" customWidth="1"/>
    <col min="16091" max="16091" width="18.28515625" style="220" customWidth="1"/>
    <col min="16092" max="16092" width="23.42578125" style="220" bestFit="1" customWidth="1"/>
    <col min="16093" max="16094" width="10.140625" style="220" bestFit="1" customWidth="1"/>
    <col min="16095" max="16097" width="10.140625" style="220" customWidth="1"/>
    <col min="16098" max="16098" width="16.28515625" style="220" customWidth="1"/>
    <col min="16099" max="16099" width="20.28515625" style="220" bestFit="1" customWidth="1"/>
    <col min="16100" max="16102" width="20.28515625" style="220" customWidth="1"/>
    <col min="16103" max="16103" width="20.28515625" style="220" bestFit="1" customWidth="1"/>
    <col min="16104" max="16104" width="15.42578125" style="220" customWidth="1"/>
    <col min="16105" max="16105" width="20.28515625" style="220" bestFit="1" customWidth="1"/>
    <col min="16106" max="16108" width="20.28515625" style="220" customWidth="1"/>
    <col min="16109" max="16109" width="20.28515625" style="220" bestFit="1" customWidth="1"/>
    <col min="16110" max="16110" width="15.42578125" style="220" customWidth="1"/>
    <col min="16111" max="16111" width="20.7109375" style="220" bestFit="1" customWidth="1"/>
    <col min="16112" max="16114" width="20.7109375" style="220" customWidth="1"/>
    <col min="16115" max="16115" width="20.7109375" style="220" bestFit="1" customWidth="1"/>
    <col min="16116" max="16116" width="12.140625" style="220" customWidth="1"/>
    <col min="16117" max="16384" width="8.7109375" style="220" customWidth="1"/>
  </cols>
  <sheetData>
    <row r="1" spans="1:17" s="194" customFormat="1"/>
    <row r="2" spans="1:17" s="194" customFormat="1" ht="13.5" thickBot="1"/>
    <row r="3" spans="1:17" s="194" customFormat="1" ht="13.5" thickBot="1">
      <c r="A3" s="338" t="s">
        <v>115</v>
      </c>
      <c r="B3" s="347" t="s">
        <v>116</v>
      </c>
      <c r="C3" s="342" t="s">
        <v>178</v>
      </c>
      <c r="D3" s="388" t="s">
        <v>343</v>
      </c>
      <c r="E3" s="389"/>
      <c r="F3" s="390"/>
      <c r="G3" s="391" t="s">
        <v>344</v>
      </c>
      <c r="H3" s="385"/>
      <c r="I3" s="385"/>
      <c r="J3" s="385"/>
      <c r="K3" s="391" t="s">
        <v>345</v>
      </c>
      <c r="L3" s="385"/>
      <c r="M3" s="386"/>
      <c r="N3" s="333" t="s">
        <v>346</v>
      </c>
      <c r="O3" s="333"/>
      <c r="P3" s="333"/>
      <c r="Q3" s="334"/>
    </row>
    <row r="4" spans="1:17" s="194" customFormat="1" ht="46.5" customHeight="1" thickBot="1">
      <c r="A4" s="339"/>
      <c r="B4" s="348"/>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335</v>
      </c>
      <c r="C5" s="200"/>
      <c r="D5" s="201"/>
      <c r="E5" s="202"/>
      <c r="F5" s="202"/>
      <c r="G5" s="202"/>
      <c r="H5" s="203"/>
      <c r="I5" s="204"/>
      <c r="J5" s="200"/>
      <c r="K5" s="205"/>
      <c r="L5" s="206"/>
      <c r="M5" s="206"/>
      <c r="N5" s="206"/>
      <c r="O5" s="206"/>
      <c r="P5" s="206"/>
      <c r="Q5" s="206"/>
    </row>
    <row r="6" spans="1:17" s="194" customFormat="1">
      <c r="A6" s="198">
        <v>2</v>
      </c>
      <c r="B6" s="199" t="s">
        <v>336</v>
      </c>
      <c r="C6" s="200"/>
      <c r="D6" s="201"/>
      <c r="E6" s="202"/>
      <c r="F6" s="202"/>
      <c r="G6" s="202"/>
      <c r="H6" s="203"/>
      <c r="I6" s="204"/>
      <c r="J6" s="200"/>
      <c r="K6" s="205"/>
      <c r="L6" s="206"/>
      <c r="M6" s="206"/>
      <c r="N6" s="206"/>
      <c r="O6" s="206"/>
      <c r="P6" s="206"/>
      <c r="Q6" s="206"/>
    </row>
    <row r="7" spans="1:17" s="194" customFormat="1">
      <c r="A7" s="198">
        <v>3</v>
      </c>
      <c r="B7" s="294" t="s">
        <v>339</v>
      </c>
      <c r="C7" s="200"/>
      <c r="D7" s="201"/>
      <c r="E7" s="202"/>
      <c r="F7" s="202"/>
      <c r="G7" s="202"/>
      <c r="H7" s="203"/>
      <c r="I7" s="204"/>
      <c r="J7" s="200"/>
      <c r="K7" s="205"/>
      <c r="L7" s="206"/>
      <c r="M7" s="206"/>
      <c r="N7" s="206"/>
      <c r="O7" s="206"/>
      <c r="P7" s="206"/>
      <c r="Q7" s="206"/>
    </row>
    <row r="8" spans="1:17" s="194" customFormat="1">
      <c r="A8" s="198">
        <v>4</v>
      </c>
      <c r="B8" s="294" t="s">
        <v>340</v>
      </c>
      <c r="C8" s="200"/>
      <c r="D8" s="201"/>
      <c r="E8" s="202"/>
      <c r="F8" s="202"/>
      <c r="G8" s="202"/>
      <c r="H8" s="203"/>
      <c r="I8" s="204"/>
      <c r="J8" s="200"/>
      <c r="K8" s="205"/>
      <c r="L8" s="206"/>
      <c r="M8" s="206"/>
      <c r="N8" s="206"/>
      <c r="O8" s="206"/>
      <c r="P8" s="206"/>
      <c r="Q8" s="206"/>
    </row>
    <row r="9" spans="1:17" s="194" customFormat="1">
      <c r="A9" s="207">
        <v>5</v>
      </c>
      <c r="B9" s="199" t="s">
        <v>337</v>
      </c>
      <c r="C9" s="200"/>
      <c r="D9" s="201"/>
      <c r="E9" s="202"/>
      <c r="F9" s="202"/>
      <c r="G9" s="202"/>
      <c r="H9" s="203"/>
      <c r="I9" s="204"/>
      <c r="J9" s="200"/>
      <c r="K9" s="205"/>
      <c r="L9" s="206"/>
      <c r="M9" s="206"/>
      <c r="N9" s="206"/>
      <c r="O9" s="206"/>
      <c r="P9" s="206"/>
      <c r="Q9" s="206"/>
    </row>
    <row r="10" spans="1:17" s="194" customFormat="1">
      <c r="A10" s="198">
        <v>6</v>
      </c>
      <c r="B10" s="199" t="s">
        <v>347</v>
      </c>
      <c r="C10" s="200"/>
      <c r="D10" s="201"/>
      <c r="E10" s="202"/>
      <c r="F10" s="202"/>
      <c r="G10" s="202"/>
      <c r="H10" s="203"/>
      <c r="I10" s="204"/>
      <c r="J10" s="200"/>
      <c r="K10" s="205"/>
      <c r="L10" s="206"/>
      <c r="M10" s="206"/>
      <c r="N10" s="206"/>
      <c r="O10" s="206"/>
      <c r="P10" s="206"/>
      <c r="Q10" s="206"/>
    </row>
    <row r="11" spans="1:17" s="194" customFormat="1">
      <c r="A11" s="198">
        <v>7</v>
      </c>
      <c r="B11" s="199" t="s">
        <v>348</v>
      </c>
      <c r="C11" s="200"/>
      <c r="D11" s="201"/>
      <c r="E11" s="202"/>
      <c r="F11" s="202"/>
      <c r="G11" s="202"/>
      <c r="H11" s="203"/>
      <c r="I11" s="204"/>
      <c r="J11" s="200"/>
      <c r="K11" s="205"/>
      <c r="L11" s="206"/>
      <c r="M11" s="206"/>
      <c r="N11" s="206"/>
      <c r="O11" s="206"/>
      <c r="P11" s="206"/>
      <c r="Q11" s="206"/>
    </row>
    <row r="12" spans="1:17" s="194" customFormat="1">
      <c r="A12" s="198">
        <v>8</v>
      </c>
      <c r="B12" s="199" t="s">
        <v>349</v>
      </c>
      <c r="C12" s="200"/>
      <c r="D12" s="201"/>
      <c r="E12" s="202"/>
      <c r="F12" s="202"/>
      <c r="G12" s="202"/>
      <c r="H12" s="203"/>
      <c r="I12" s="204"/>
      <c r="J12" s="200"/>
      <c r="K12" s="205"/>
      <c r="L12" s="206"/>
      <c r="M12" s="206"/>
      <c r="N12" s="206"/>
      <c r="O12" s="206"/>
      <c r="P12" s="206"/>
      <c r="Q12" s="206"/>
    </row>
    <row r="13" spans="1:17" s="194" customFormat="1" ht="25.5">
      <c r="A13" s="198">
        <v>9</v>
      </c>
      <c r="B13" s="294" t="s">
        <v>338</v>
      </c>
      <c r="C13" s="200"/>
      <c r="D13" s="201"/>
      <c r="E13" s="202"/>
      <c r="F13" s="202"/>
      <c r="G13" s="202"/>
      <c r="H13" s="203"/>
      <c r="I13" s="204"/>
      <c r="J13" s="200"/>
      <c r="K13" s="205"/>
      <c r="L13" s="206"/>
      <c r="M13" s="206"/>
      <c r="N13" s="206"/>
      <c r="O13" s="206"/>
      <c r="P13" s="206"/>
      <c r="Q13" s="206"/>
    </row>
    <row r="14" spans="1:17" s="194" customFormat="1" ht="38.25" customHeight="1">
      <c r="A14" s="207">
        <v>10</v>
      </c>
      <c r="B14" s="294" t="s">
        <v>341</v>
      </c>
      <c r="C14" s="208"/>
      <c r="D14" s="201"/>
      <c r="E14" s="202"/>
      <c r="F14" s="202"/>
      <c r="G14" s="202"/>
      <c r="H14" s="203"/>
      <c r="I14" s="204"/>
      <c r="J14" s="200"/>
      <c r="K14" s="205"/>
      <c r="L14" s="206"/>
      <c r="M14" s="206"/>
      <c r="N14" s="206"/>
      <c r="O14" s="206"/>
      <c r="P14" s="206"/>
      <c r="Q14" s="206"/>
    </row>
    <row r="15" spans="1:17" s="194" customFormat="1" ht="25.5">
      <c r="A15" s="198">
        <v>11</v>
      </c>
      <c r="B15" s="294" t="s">
        <v>342</v>
      </c>
      <c r="C15" s="287"/>
      <c r="D15" s="288"/>
      <c r="E15" s="289"/>
      <c r="F15" s="289"/>
      <c r="G15" s="289"/>
      <c r="H15" s="290"/>
      <c r="I15" s="291"/>
      <c r="J15" s="292"/>
      <c r="K15" s="293"/>
      <c r="L15" s="206"/>
      <c r="M15" s="206"/>
      <c r="N15" s="206"/>
      <c r="O15" s="206"/>
      <c r="P15" s="206"/>
      <c r="Q15" s="206"/>
    </row>
    <row r="16" spans="1:17" s="219" customFormat="1" ht="15" customHeight="1" thickBot="1">
      <c r="A16" s="344" t="s">
        <v>5</v>
      </c>
      <c r="B16" s="345"/>
      <c r="C16" s="346"/>
      <c r="D16" s="261"/>
      <c r="E16" s="262"/>
      <c r="F16" s="262"/>
      <c r="G16" s="262"/>
      <c r="H16" s="263"/>
      <c r="I16" s="264"/>
      <c r="J16" s="265"/>
      <c r="K16" s="266"/>
      <c r="L16" s="267"/>
      <c r="M16" s="267"/>
      <c r="N16" s="267"/>
      <c r="O16" s="268"/>
      <c r="P16" s="268"/>
      <c r="Q16" s="268"/>
    </row>
  </sheetData>
  <mergeCells count="8">
    <mergeCell ref="A16:C16"/>
    <mergeCell ref="A3:A4"/>
    <mergeCell ref="B3:B4"/>
    <mergeCell ref="C3:C4"/>
    <mergeCell ref="D3:F3"/>
    <mergeCell ref="G3:J3"/>
    <mergeCell ref="K3:M3"/>
    <mergeCell ref="N3:Q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8"/>
  <sheetViews>
    <sheetView tabSelected="1" workbookViewId="0">
      <selection activeCell="D15" sqref="D15"/>
    </sheetView>
  </sheetViews>
  <sheetFormatPr defaultColWidth="11.5703125" defaultRowHeight="12.75"/>
  <cols>
    <col min="1" max="1" width="7.28515625" style="220" customWidth="1"/>
    <col min="2" max="2" width="59.140625" style="220" bestFit="1" customWidth="1"/>
    <col min="3" max="3" width="23.5703125" style="220" customWidth="1"/>
    <col min="4" max="8" width="21.85546875" style="220" customWidth="1"/>
    <col min="9" max="17" width="26.7109375" style="220" customWidth="1"/>
    <col min="18" max="217" width="8.7109375" style="220" customWidth="1"/>
    <col min="218" max="218" width="7.28515625" style="220" customWidth="1"/>
    <col min="219" max="219" width="18.28515625" style="220" customWidth="1"/>
    <col min="220" max="220" width="23.42578125" style="220" bestFit="1" customWidth="1"/>
    <col min="221" max="222" width="10.140625" style="220" bestFit="1" customWidth="1"/>
    <col min="223" max="225" width="10.140625" style="220" customWidth="1"/>
    <col min="226" max="226" width="16.28515625" style="220" customWidth="1"/>
    <col min="227" max="227" width="20.28515625" style="220" bestFit="1" customWidth="1"/>
    <col min="228" max="230" width="20.28515625" style="220" customWidth="1"/>
    <col min="231" max="231" width="20.28515625" style="220" bestFit="1" customWidth="1"/>
    <col min="232" max="232" width="15.42578125" style="220" customWidth="1"/>
    <col min="233" max="233" width="20.28515625" style="220" bestFit="1" customWidth="1"/>
    <col min="234" max="236" width="20.28515625" style="220" customWidth="1"/>
    <col min="237" max="237" width="20.28515625" style="220" bestFit="1" customWidth="1"/>
    <col min="238" max="238" width="15.42578125" style="220" customWidth="1"/>
    <col min="239" max="239" width="20.7109375" style="220" bestFit="1" customWidth="1"/>
    <col min="240" max="242" width="20.7109375" style="220" customWidth="1"/>
    <col min="243" max="243" width="20.7109375" style="220" bestFit="1" customWidth="1"/>
    <col min="244" max="244" width="12.140625" style="220" customWidth="1"/>
    <col min="245" max="473" width="8.7109375" style="220" customWidth="1"/>
    <col min="474" max="474" width="7.28515625" style="220" customWidth="1"/>
    <col min="475" max="475" width="18.28515625" style="220" customWidth="1"/>
    <col min="476" max="476" width="23.42578125" style="220" bestFit="1" customWidth="1"/>
    <col min="477" max="478" width="10.140625" style="220" bestFit="1" customWidth="1"/>
    <col min="479" max="481" width="10.140625" style="220" customWidth="1"/>
    <col min="482" max="482" width="16.28515625" style="220" customWidth="1"/>
    <col min="483" max="483" width="20.28515625" style="220" bestFit="1" customWidth="1"/>
    <col min="484" max="486" width="20.28515625" style="220" customWidth="1"/>
    <col min="487" max="487" width="20.28515625" style="220" bestFit="1" customWidth="1"/>
    <col min="488" max="488" width="15.42578125" style="220" customWidth="1"/>
    <col min="489" max="489" width="20.28515625" style="220" bestFit="1" customWidth="1"/>
    <col min="490" max="492" width="20.28515625" style="220" customWidth="1"/>
    <col min="493" max="493" width="20.28515625" style="220" bestFit="1" customWidth="1"/>
    <col min="494" max="494" width="15.42578125" style="220" customWidth="1"/>
    <col min="495" max="495" width="20.7109375" style="220" bestFit="1" customWidth="1"/>
    <col min="496" max="498" width="20.7109375" style="220" customWidth="1"/>
    <col min="499" max="499" width="20.7109375" style="220" bestFit="1" customWidth="1"/>
    <col min="500" max="500" width="12.140625" style="220" customWidth="1"/>
    <col min="501" max="729" width="8.7109375" style="220" customWidth="1"/>
    <col min="730" max="730" width="7.28515625" style="220" customWidth="1"/>
    <col min="731" max="731" width="18.28515625" style="220" customWidth="1"/>
    <col min="732" max="732" width="23.42578125" style="220" bestFit="1" customWidth="1"/>
    <col min="733" max="734" width="10.140625" style="220" bestFit="1" customWidth="1"/>
    <col min="735" max="737" width="10.140625" style="220" customWidth="1"/>
    <col min="738" max="738" width="16.28515625" style="220" customWidth="1"/>
    <col min="739" max="739" width="20.28515625" style="220" bestFit="1" customWidth="1"/>
    <col min="740" max="742" width="20.28515625" style="220" customWidth="1"/>
    <col min="743" max="743" width="20.28515625" style="220" bestFit="1" customWidth="1"/>
    <col min="744" max="744" width="15.42578125" style="220" customWidth="1"/>
    <col min="745" max="745" width="20.28515625" style="220" bestFit="1" customWidth="1"/>
    <col min="746" max="748" width="20.28515625" style="220" customWidth="1"/>
    <col min="749" max="749" width="20.28515625" style="220" bestFit="1" customWidth="1"/>
    <col min="750" max="750" width="15.42578125" style="220" customWidth="1"/>
    <col min="751" max="751" width="20.7109375" style="220" bestFit="1" customWidth="1"/>
    <col min="752" max="754" width="20.7109375" style="220" customWidth="1"/>
    <col min="755" max="755" width="20.7109375" style="220" bestFit="1" customWidth="1"/>
    <col min="756" max="756" width="12.140625" style="220" customWidth="1"/>
    <col min="757" max="985" width="8.7109375" style="220" customWidth="1"/>
    <col min="986" max="986" width="7.28515625" style="220" customWidth="1"/>
    <col min="987" max="987" width="18.28515625" style="220" customWidth="1"/>
    <col min="988" max="988" width="23.42578125" style="220" bestFit="1" customWidth="1"/>
    <col min="989" max="990" width="10.140625" style="220" bestFit="1" customWidth="1"/>
    <col min="991" max="993" width="10.140625" style="220" customWidth="1"/>
    <col min="994" max="994" width="16.28515625" style="220" customWidth="1"/>
    <col min="995" max="995" width="20.28515625" style="220" bestFit="1" customWidth="1"/>
    <col min="996" max="998" width="20.28515625" style="220" customWidth="1"/>
    <col min="999" max="999" width="20.28515625" style="220" bestFit="1" customWidth="1"/>
    <col min="1000" max="1000" width="15.42578125" style="220" customWidth="1"/>
    <col min="1001" max="1001" width="20.28515625" style="220" bestFit="1" customWidth="1"/>
    <col min="1002" max="1004" width="20.28515625" style="220" customWidth="1"/>
    <col min="1005" max="1005" width="20.28515625" style="220" bestFit="1" customWidth="1"/>
    <col min="1006" max="1006" width="15.42578125" style="220" customWidth="1"/>
    <col min="1007" max="1007" width="20.7109375" style="220" bestFit="1" customWidth="1"/>
    <col min="1008" max="1010" width="20.7109375" style="220" customWidth="1"/>
    <col min="1011" max="1011" width="20.7109375" style="220" bestFit="1" customWidth="1"/>
    <col min="1012" max="1012" width="12.140625" style="220" customWidth="1"/>
    <col min="1013" max="1241" width="8.7109375" style="220" customWidth="1"/>
    <col min="1242" max="1242" width="7.28515625" style="220" customWidth="1"/>
    <col min="1243" max="1243" width="18.28515625" style="220" customWidth="1"/>
    <col min="1244" max="1244" width="23.42578125" style="220" bestFit="1" customWidth="1"/>
    <col min="1245" max="1246" width="10.140625" style="220" bestFit="1" customWidth="1"/>
    <col min="1247" max="1249" width="10.140625" style="220" customWidth="1"/>
    <col min="1250" max="1250" width="16.28515625" style="220" customWidth="1"/>
    <col min="1251" max="1251" width="20.28515625" style="220" bestFit="1" customWidth="1"/>
    <col min="1252" max="1254" width="20.28515625" style="220" customWidth="1"/>
    <col min="1255" max="1255" width="20.28515625" style="220" bestFit="1" customWidth="1"/>
    <col min="1256" max="1256" width="15.42578125" style="220" customWidth="1"/>
    <col min="1257" max="1257" width="20.28515625" style="220" bestFit="1" customWidth="1"/>
    <col min="1258" max="1260" width="20.28515625" style="220" customWidth="1"/>
    <col min="1261" max="1261" width="20.28515625" style="220" bestFit="1" customWidth="1"/>
    <col min="1262" max="1262" width="15.42578125" style="220" customWidth="1"/>
    <col min="1263" max="1263" width="20.7109375" style="220" bestFit="1" customWidth="1"/>
    <col min="1264" max="1266" width="20.7109375" style="220" customWidth="1"/>
    <col min="1267" max="1267" width="20.7109375" style="220" bestFit="1" customWidth="1"/>
    <col min="1268" max="1268" width="12.140625" style="220" customWidth="1"/>
    <col min="1269" max="1497" width="8.7109375" style="220" customWidth="1"/>
    <col min="1498" max="1498" width="7.28515625" style="220" customWidth="1"/>
    <col min="1499" max="1499" width="18.28515625" style="220" customWidth="1"/>
    <col min="1500" max="1500" width="23.42578125" style="220" bestFit="1" customWidth="1"/>
    <col min="1501" max="1502" width="10.140625" style="220" bestFit="1" customWidth="1"/>
    <col min="1503" max="1505" width="10.140625" style="220" customWidth="1"/>
    <col min="1506" max="1506" width="16.28515625" style="220" customWidth="1"/>
    <col min="1507" max="1507" width="20.28515625" style="220" bestFit="1" customWidth="1"/>
    <col min="1508" max="1510" width="20.28515625" style="220" customWidth="1"/>
    <col min="1511" max="1511" width="20.28515625" style="220" bestFit="1" customWidth="1"/>
    <col min="1512" max="1512" width="15.42578125" style="220" customWidth="1"/>
    <col min="1513" max="1513" width="20.28515625" style="220" bestFit="1" customWidth="1"/>
    <col min="1514" max="1516" width="20.28515625" style="220" customWidth="1"/>
    <col min="1517" max="1517" width="20.28515625" style="220" bestFit="1" customWidth="1"/>
    <col min="1518" max="1518" width="15.42578125" style="220" customWidth="1"/>
    <col min="1519" max="1519" width="20.7109375" style="220" bestFit="1" customWidth="1"/>
    <col min="1520" max="1522" width="20.7109375" style="220" customWidth="1"/>
    <col min="1523" max="1523" width="20.7109375" style="220" bestFit="1" customWidth="1"/>
    <col min="1524" max="1524" width="12.140625" style="220" customWidth="1"/>
    <col min="1525" max="1753" width="8.7109375" style="220" customWidth="1"/>
    <col min="1754" max="1754" width="7.28515625" style="220" customWidth="1"/>
    <col min="1755" max="1755" width="18.28515625" style="220" customWidth="1"/>
    <col min="1756" max="1756" width="23.42578125" style="220" bestFit="1" customWidth="1"/>
    <col min="1757" max="1758" width="10.140625" style="220" bestFit="1" customWidth="1"/>
    <col min="1759" max="1761" width="10.140625" style="220" customWidth="1"/>
    <col min="1762" max="1762" width="16.28515625" style="220" customWidth="1"/>
    <col min="1763" max="1763" width="20.28515625" style="220" bestFit="1" customWidth="1"/>
    <col min="1764" max="1766" width="20.28515625" style="220" customWidth="1"/>
    <col min="1767" max="1767" width="20.28515625" style="220" bestFit="1" customWidth="1"/>
    <col min="1768" max="1768" width="15.42578125" style="220" customWidth="1"/>
    <col min="1769" max="1769" width="20.28515625" style="220" bestFit="1" customWidth="1"/>
    <col min="1770" max="1772" width="20.28515625" style="220" customWidth="1"/>
    <col min="1773" max="1773" width="20.28515625" style="220" bestFit="1" customWidth="1"/>
    <col min="1774" max="1774" width="15.42578125" style="220" customWidth="1"/>
    <col min="1775" max="1775" width="20.7109375" style="220" bestFit="1" customWidth="1"/>
    <col min="1776" max="1778" width="20.7109375" style="220" customWidth="1"/>
    <col min="1779" max="1779" width="20.7109375" style="220" bestFit="1" customWidth="1"/>
    <col min="1780" max="1780" width="12.140625" style="220" customWidth="1"/>
    <col min="1781" max="2009" width="8.7109375" style="220" customWidth="1"/>
    <col min="2010" max="2010" width="7.28515625" style="220" customWidth="1"/>
    <col min="2011" max="2011" width="18.28515625" style="220" customWidth="1"/>
    <col min="2012" max="2012" width="23.42578125" style="220" bestFit="1" customWidth="1"/>
    <col min="2013" max="2014" width="10.140625" style="220" bestFit="1" customWidth="1"/>
    <col min="2015" max="2017" width="10.140625" style="220" customWidth="1"/>
    <col min="2018" max="2018" width="16.28515625" style="220" customWidth="1"/>
    <col min="2019" max="2019" width="20.28515625" style="220" bestFit="1" customWidth="1"/>
    <col min="2020" max="2022" width="20.28515625" style="220" customWidth="1"/>
    <col min="2023" max="2023" width="20.28515625" style="220" bestFit="1" customWidth="1"/>
    <col min="2024" max="2024" width="15.42578125" style="220" customWidth="1"/>
    <col min="2025" max="2025" width="20.28515625" style="220" bestFit="1" customWidth="1"/>
    <col min="2026" max="2028" width="20.28515625" style="220" customWidth="1"/>
    <col min="2029" max="2029" width="20.28515625" style="220" bestFit="1" customWidth="1"/>
    <col min="2030" max="2030" width="15.42578125" style="220" customWidth="1"/>
    <col min="2031" max="2031" width="20.7109375" style="220" bestFit="1" customWidth="1"/>
    <col min="2032" max="2034" width="20.7109375" style="220" customWidth="1"/>
    <col min="2035" max="2035" width="20.7109375" style="220" bestFit="1" customWidth="1"/>
    <col min="2036" max="2036" width="12.140625" style="220" customWidth="1"/>
    <col min="2037" max="2265" width="8.7109375" style="220" customWidth="1"/>
    <col min="2266" max="2266" width="7.28515625" style="220" customWidth="1"/>
    <col min="2267" max="2267" width="18.28515625" style="220" customWidth="1"/>
    <col min="2268" max="2268" width="23.42578125" style="220" bestFit="1" customWidth="1"/>
    <col min="2269" max="2270" width="10.140625" style="220" bestFit="1" customWidth="1"/>
    <col min="2271" max="2273" width="10.140625" style="220" customWidth="1"/>
    <col min="2274" max="2274" width="16.28515625" style="220" customWidth="1"/>
    <col min="2275" max="2275" width="20.28515625" style="220" bestFit="1" customWidth="1"/>
    <col min="2276" max="2278" width="20.28515625" style="220" customWidth="1"/>
    <col min="2279" max="2279" width="20.28515625" style="220" bestFit="1" customWidth="1"/>
    <col min="2280" max="2280" width="15.42578125" style="220" customWidth="1"/>
    <col min="2281" max="2281" width="20.28515625" style="220" bestFit="1" customWidth="1"/>
    <col min="2282" max="2284" width="20.28515625" style="220" customWidth="1"/>
    <col min="2285" max="2285" width="20.28515625" style="220" bestFit="1" customWidth="1"/>
    <col min="2286" max="2286" width="15.42578125" style="220" customWidth="1"/>
    <col min="2287" max="2287" width="20.7109375" style="220" bestFit="1" customWidth="1"/>
    <col min="2288" max="2290" width="20.7109375" style="220" customWidth="1"/>
    <col min="2291" max="2291" width="20.7109375" style="220" bestFit="1" customWidth="1"/>
    <col min="2292" max="2292" width="12.140625" style="220" customWidth="1"/>
    <col min="2293" max="2521" width="8.7109375" style="220" customWidth="1"/>
    <col min="2522" max="2522" width="7.28515625" style="220" customWidth="1"/>
    <col min="2523" max="2523" width="18.28515625" style="220" customWidth="1"/>
    <col min="2524" max="2524" width="23.42578125" style="220" bestFit="1" customWidth="1"/>
    <col min="2525" max="2526" width="10.140625" style="220" bestFit="1" customWidth="1"/>
    <col min="2527" max="2529" width="10.140625" style="220" customWidth="1"/>
    <col min="2530" max="2530" width="16.28515625" style="220" customWidth="1"/>
    <col min="2531" max="2531" width="20.28515625" style="220" bestFit="1" customWidth="1"/>
    <col min="2532" max="2534" width="20.28515625" style="220" customWidth="1"/>
    <col min="2535" max="2535" width="20.28515625" style="220" bestFit="1" customWidth="1"/>
    <col min="2536" max="2536" width="15.42578125" style="220" customWidth="1"/>
    <col min="2537" max="2537" width="20.28515625" style="220" bestFit="1" customWidth="1"/>
    <col min="2538" max="2540" width="20.28515625" style="220" customWidth="1"/>
    <col min="2541" max="2541" width="20.28515625" style="220" bestFit="1" customWidth="1"/>
    <col min="2542" max="2542" width="15.42578125" style="220" customWidth="1"/>
    <col min="2543" max="2543" width="20.7109375" style="220" bestFit="1" customWidth="1"/>
    <col min="2544" max="2546" width="20.7109375" style="220" customWidth="1"/>
    <col min="2547" max="2547" width="20.7109375" style="220" bestFit="1" customWidth="1"/>
    <col min="2548" max="2548" width="12.140625" style="220" customWidth="1"/>
    <col min="2549" max="2777" width="8.7109375" style="220" customWidth="1"/>
    <col min="2778" max="2778" width="7.28515625" style="220" customWidth="1"/>
    <col min="2779" max="2779" width="18.28515625" style="220" customWidth="1"/>
    <col min="2780" max="2780" width="23.42578125" style="220" bestFit="1" customWidth="1"/>
    <col min="2781" max="2782" width="10.140625" style="220" bestFit="1" customWidth="1"/>
    <col min="2783" max="2785" width="10.140625" style="220" customWidth="1"/>
    <col min="2786" max="2786" width="16.28515625" style="220" customWidth="1"/>
    <col min="2787" max="2787" width="20.28515625" style="220" bestFit="1" customWidth="1"/>
    <col min="2788" max="2790" width="20.28515625" style="220" customWidth="1"/>
    <col min="2791" max="2791" width="20.28515625" style="220" bestFit="1" customWidth="1"/>
    <col min="2792" max="2792" width="15.42578125" style="220" customWidth="1"/>
    <col min="2793" max="2793" width="20.28515625" style="220" bestFit="1" customWidth="1"/>
    <col min="2794" max="2796" width="20.28515625" style="220" customWidth="1"/>
    <col min="2797" max="2797" width="20.28515625" style="220" bestFit="1" customWidth="1"/>
    <col min="2798" max="2798" width="15.42578125" style="220" customWidth="1"/>
    <col min="2799" max="2799" width="20.7109375" style="220" bestFit="1" customWidth="1"/>
    <col min="2800" max="2802" width="20.7109375" style="220" customWidth="1"/>
    <col min="2803" max="2803" width="20.7109375" style="220" bestFit="1" customWidth="1"/>
    <col min="2804" max="2804" width="12.140625" style="220" customWidth="1"/>
    <col min="2805" max="3033" width="8.7109375" style="220" customWidth="1"/>
    <col min="3034" max="3034" width="7.28515625" style="220" customWidth="1"/>
    <col min="3035" max="3035" width="18.28515625" style="220" customWidth="1"/>
    <col min="3036" max="3036" width="23.42578125" style="220" bestFit="1" customWidth="1"/>
    <col min="3037" max="3038" width="10.140625" style="220" bestFit="1" customWidth="1"/>
    <col min="3039" max="3041" width="10.140625" style="220" customWidth="1"/>
    <col min="3042" max="3042" width="16.28515625" style="220" customWidth="1"/>
    <col min="3043" max="3043" width="20.28515625" style="220" bestFit="1" customWidth="1"/>
    <col min="3044" max="3046" width="20.28515625" style="220" customWidth="1"/>
    <col min="3047" max="3047" width="20.28515625" style="220" bestFit="1" customWidth="1"/>
    <col min="3048" max="3048" width="15.42578125" style="220" customWidth="1"/>
    <col min="3049" max="3049" width="20.28515625" style="220" bestFit="1" customWidth="1"/>
    <col min="3050" max="3052" width="20.28515625" style="220" customWidth="1"/>
    <col min="3053" max="3053" width="20.28515625" style="220" bestFit="1" customWidth="1"/>
    <col min="3054" max="3054" width="15.42578125" style="220" customWidth="1"/>
    <col min="3055" max="3055" width="20.7109375" style="220" bestFit="1" customWidth="1"/>
    <col min="3056" max="3058" width="20.7109375" style="220" customWidth="1"/>
    <col min="3059" max="3059" width="20.7109375" style="220" bestFit="1" customWidth="1"/>
    <col min="3060" max="3060" width="12.140625" style="220" customWidth="1"/>
    <col min="3061" max="3289" width="8.7109375" style="220" customWidth="1"/>
    <col min="3290" max="3290" width="7.28515625" style="220" customWidth="1"/>
    <col min="3291" max="3291" width="18.28515625" style="220" customWidth="1"/>
    <col min="3292" max="3292" width="23.42578125" style="220" bestFit="1" customWidth="1"/>
    <col min="3293" max="3294" width="10.140625" style="220" bestFit="1" customWidth="1"/>
    <col min="3295" max="3297" width="10.140625" style="220" customWidth="1"/>
    <col min="3298" max="3298" width="16.28515625" style="220" customWidth="1"/>
    <col min="3299" max="3299" width="20.28515625" style="220" bestFit="1" customWidth="1"/>
    <col min="3300" max="3302" width="20.28515625" style="220" customWidth="1"/>
    <col min="3303" max="3303" width="20.28515625" style="220" bestFit="1" customWidth="1"/>
    <col min="3304" max="3304" width="15.42578125" style="220" customWidth="1"/>
    <col min="3305" max="3305" width="20.28515625" style="220" bestFit="1" customWidth="1"/>
    <col min="3306" max="3308" width="20.28515625" style="220" customWidth="1"/>
    <col min="3309" max="3309" width="20.28515625" style="220" bestFit="1" customWidth="1"/>
    <col min="3310" max="3310" width="15.42578125" style="220" customWidth="1"/>
    <col min="3311" max="3311" width="20.7109375" style="220" bestFit="1" customWidth="1"/>
    <col min="3312" max="3314" width="20.7109375" style="220" customWidth="1"/>
    <col min="3315" max="3315" width="20.7109375" style="220" bestFit="1" customWidth="1"/>
    <col min="3316" max="3316" width="12.140625" style="220" customWidth="1"/>
    <col min="3317" max="3545" width="8.7109375" style="220" customWidth="1"/>
    <col min="3546" max="3546" width="7.28515625" style="220" customWidth="1"/>
    <col min="3547" max="3547" width="18.28515625" style="220" customWidth="1"/>
    <col min="3548" max="3548" width="23.42578125" style="220" bestFit="1" customWidth="1"/>
    <col min="3549" max="3550" width="10.140625" style="220" bestFit="1" customWidth="1"/>
    <col min="3551" max="3553" width="10.140625" style="220" customWidth="1"/>
    <col min="3554" max="3554" width="16.28515625" style="220" customWidth="1"/>
    <col min="3555" max="3555" width="20.28515625" style="220" bestFit="1" customWidth="1"/>
    <col min="3556" max="3558" width="20.28515625" style="220" customWidth="1"/>
    <col min="3559" max="3559" width="20.28515625" style="220" bestFit="1" customWidth="1"/>
    <col min="3560" max="3560" width="15.42578125" style="220" customWidth="1"/>
    <col min="3561" max="3561" width="20.28515625" style="220" bestFit="1" customWidth="1"/>
    <col min="3562" max="3564" width="20.28515625" style="220" customWidth="1"/>
    <col min="3565" max="3565" width="20.28515625" style="220" bestFit="1" customWidth="1"/>
    <col min="3566" max="3566" width="15.42578125" style="220" customWidth="1"/>
    <col min="3567" max="3567" width="20.7109375" style="220" bestFit="1" customWidth="1"/>
    <col min="3568" max="3570" width="20.7109375" style="220" customWidth="1"/>
    <col min="3571" max="3571" width="20.7109375" style="220" bestFit="1" customWidth="1"/>
    <col min="3572" max="3572" width="12.140625" style="220" customWidth="1"/>
    <col min="3573" max="3801" width="8.7109375" style="220" customWidth="1"/>
    <col min="3802" max="3802" width="7.28515625" style="220" customWidth="1"/>
    <col min="3803" max="3803" width="18.28515625" style="220" customWidth="1"/>
    <col min="3804" max="3804" width="23.42578125" style="220" bestFit="1" customWidth="1"/>
    <col min="3805" max="3806" width="10.140625" style="220" bestFit="1" customWidth="1"/>
    <col min="3807" max="3809" width="10.140625" style="220" customWidth="1"/>
    <col min="3810" max="3810" width="16.28515625" style="220" customWidth="1"/>
    <col min="3811" max="3811" width="20.28515625" style="220" bestFit="1" customWidth="1"/>
    <col min="3812" max="3814" width="20.28515625" style="220" customWidth="1"/>
    <col min="3815" max="3815" width="20.28515625" style="220" bestFit="1" customWidth="1"/>
    <col min="3816" max="3816" width="15.42578125" style="220" customWidth="1"/>
    <col min="3817" max="3817" width="20.28515625" style="220" bestFit="1" customWidth="1"/>
    <col min="3818" max="3820" width="20.28515625" style="220" customWidth="1"/>
    <col min="3821" max="3821" width="20.28515625" style="220" bestFit="1" customWidth="1"/>
    <col min="3822" max="3822" width="15.42578125" style="220" customWidth="1"/>
    <col min="3823" max="3823" width="20.7109375" style="220" bestFit="1" customWidth="1"/>
    <col min="3824" max="3826" width="20.7109375" style="220" customWidth="1"/>
    <col min="3827" max="3827" width="20.7109375" style="220" bestFit="1" customWidth="1"/>
    <col min="3828" max="3828" width="12.140625" style="220" customWidth="1"/>
    <col min="3829" max="4057" width="8.7109375" style="220" customWidth="1"/>
    <col min="4058" max="4058" width="7.28515625" style="220" customWidth="1"/>
    <col min="4059" max="4059" width="18.28515625" style="220" customWidth="1"/>
    <col min="4060" max="4060" width="23.42578125" style="220" bestFit="1" customWidth="1"/>
    <col min="4061" max="4062" width="10.140625" style="220" bestFit="1" customWidth="1"/>
    <col min="4063" max="4065" width="10.140625" style="220" customWidth="1"/>
    <col min="4066" max="4066" width="16.28515625" style="220" customWidth="1"/>
    <col min="4067" max="4067" width="20.28515625" style="220" bestFit="1" customWidth="1"/>
    <col min="4068" max="4070" width="20.28515625" style="220" customWidth="1"/>
    <col min="4071" max="4071" width="20.28515625" style="220" bestFit="1" customWidth="1"/>
    <col min="4072" max="4072" width="15.42578125" style="220" customWidth="1"/>
    <col min="4073" max="4073" width="20.28515625" style="220" bestFit="1" customWidth="1"/>
    <col min="4074" max="4076" width="20.28515625" style="220" customWidth="1"/>
    <col min="4077" max="4077" width="20.28515625" style="220" bestFit="1" customWidth="1"/>
    <col min="4078" max="4078" width="15.42578125" style="220" customWidth="1"/>
    <col min="4079" max="4079" width="20.7109375" style="220" bestFit="1" customWidth="1"/>
    <col min="4080" max="4082" width="20.7109375" style="220" customWidth="1"/>
    <col min="4083" max="4083" width="20.7109375" style="220" bestFit="1" customWidth="1"/>
    <col min="4084" max="4084" width="12.140625" style="220" customWidth="1"/>
    <col min="4085" max="4313" width="8.7109375" style="220" customWidth="1"/>
    <col min="4314" max="4314" width="7.28515625" style="220" customWidth="1"/>
    <col min="4315" max="4315" width="18.28515625" style="220" customWidth="1"/>
    <col min="4316" max="4316" width="23.42578125" style="220" bestFit="1" customWidth="1"/>
    <col min="4317" max="4318" width="10.140625" style="220" bestFit="1" customWidth="1"/>
    <col min="4319" max="4321" width="10.140625" style="220" customWidth="1"/>
    <col min="4322" max="4322" width="16.28515625" style="220" customWidth="1"/>
    <col min="4323" max="4323" width="20.28515625" style="220" bestFit="1" customWidth="1"/>
    <col min="4324" max="4326" width="20.28515625" style="220" customWidth="1"/>
    <col min="4327" max="4327" width="20.28515625" style="220" bestFit="1" customWidth="1"/>
    <col min="4328" max="4328" width="15.42578125" style="220" customWidth="1"/>
    <col min="4329" max="4329" width="20.28515625" style="220" bestFit="1" customWidth="1"/>
    <col min="4330" max="4332" width="20.28515625" style="220" customWidth="1"/>
    <col min="4333" max="4333" width="20.28515625" style="220" bestFit="1" customWidth="1"/>
    <col min="4334" max="4334" width="15.42578125" style="220" customWidth="1"/>
    <col min="4335" max="4335" width="20.7109375" style="220" bestFit="1" customWidth="1"/>
    <col min="4336" max="4338" width="20.7109375" style="220" customWidth="1"/>
    <col min="4339" max="4339" width="20.7109375" style="220" bestFit="1" customWidth="1"/>
    <col min="4340" max="4340" width="12.140625" style="220" customWidth="1"/>
    <col min="4341" max="4569" width="8.7109375" style="220" customWidth="1"/>
    <col min="4570" max="4570" width="7.28515625" style="220" customWidth="1"/>
    <col min="4571" max="4571" width="18.28515625" style="220" customWidth="1"/>
    <col min="4572" max="4572" width="23.42578125" style="220" bestFit="1" customWidth="1"/>
    <col min="4573" max="4574" width="10.140625" style="220" bestFit="1" customWidth="1"/>
    <col min="4575" max="4577" width="10.140625" style="220" customWidth="1"/>
    <col min="4578" max="4578" width="16.28515625" style="220" customWidth="1"/>
    <col min="4579" max="4579" width="20.28515625" style="220" bestFit="1" customWidth="1"/>
    <col min="4580" max="4582" width="20.28515625" style="220" customWidth="1"/>
    <col min="4583" max="4583" width="20.28515625" style="220" bestFit="1" customWidth="1"/>
    <col min="4584" max="4584" width="15.42578125" style="220" customWidth="1"/>
    <col min="4585" max="4585" width="20.28515625" style="220" bestFit="1" customWidth="1"/>
    <col min="4586" max="4588" width="20.28515625" style="220" customWidth="1"/>
    <col min="4589" max="4589" width="20.28515625" style="220" bestFit="1" customWidth="1"/>
    <col min="4590" max="4590" width="15.42578125" style="220" customWidth="1"/>
    <col min="4591" max="4591" width="20.7109375" style="220" bestFit="1" customWidth="1"/>
    <col min="4592" max="4594" width="20.7109375" style="220" customWidth="1"/>
    <col min="4595" max="4595" width="20.7109375" style="220" bestFit="1" customWidth="1"/>
    <col min="4596" max="4596" width="12.140625" style="220" customWidth="1"/>
    <col min="4597" max="4825" width="8.7109375" style="220" customWidth="1"/>
    <col min="4826" max="4826" width="7.28515625" style="220" customWidth="1"/>
    <col min="4827" max="4827" width="18.28515625" style="220" customWidth="1"/>
    <col min="4828" max="4828" width="23.42578125" style="220" bestFit="1" customWidth="1"/>
    <col min="4829" max="4830" width="10.140625" style="220" bestFit="1" customWidth="1"/>
    <col min="4831" max="4833" width="10.140625" style="220" customWidth="1"/>
    <col min="4834" max="4834" width="16.28515625" style="220" customWidth="1"/>
    <col min="4835" max="4835" width="20.28515625" style="220" bestFit="1" customWidth="1"/>
    <col min="4836" max="4838" width="20.28515625" style="220" customWidth="1"/>
    <col min="4839" max="4839" width="20.28515625" style="220" bestFit="1" customWidth="1"/>
    <col min="4840" max="4840" width="15.42578125" style="220" customWidth="1"/>
    <col min="4841" max="4841" width="20.28515625" style="220" bestFit="1" customWidth="1"/>
    <col min="4842" max="4844" width="20.28515625" style="220" customWidth="1"/>
    <col min="4845" max="4845" width="20.28515625" style="220" bestFit="1" customWidth="1"/>
    <col min="4846" max="4846" width="15.42578125" style="220" customWidth="1"/>
    <col min="4847" max="4847" width="20.7109375" style="220" bestFit="1" customWidth="1"/>
    <col min="4848" max="4850" width="20.7109375" style="220" customWidth="1"/>
    <col min="4851" max="4851" width="20.7109375" style="220" bestFit="1" customWidth="1"/>
    <col min="4852" max="4852" width="12.140625" style="220" customWidth="1"/>
    <col min="4853" max="5081" width="8.7109375" style="220" customWidth="1"/>
    <col min="5082" max="5082" width="7.28515625" style="220" customWidth="1"/>
    <col min="5083" max="5083" width="18.28515625" style="220" customWidth="1"/>
    <col min="5084" max="5084" width="23.42578125" style="220" bestFit="1" customWidth="1"/>
    <col min="5085" max="5086" width="10.140625" style="220" bestFit="1" customWidth="1"/>
    <col min="5087" max="5089" width="10.140625" style="220" customWidth="1"/>
    <col min="5090" max="5090" width="16.28515625" style="220" customWidth="1"/>
    <col min="5091" max="5091" width="20.28515625" style="220" bestFit="1" customWidth="1"/>
    <col min="5092" max="5094" width="20.28515625" style="220" customWidth="1"/>
    <col min="5095" max="5095" width="20.28515625" style="220" bestFit="1" customWidth="1"/>
    <col min="5096" max="5096" width="15.42578125" style="220" customWidth="1"/>
    <col min="5097" max="5097" width="20.28515625" style="220" bestFit="1" customWidth="1"/>
    <col min="5098" max="5100" width="20.28515625" style="220" customWidth="1"/>
    <col min="5101" max="5101" width="20.28515625" style="220" bestFit="1" customWidth="1"/>
    <col min="5102" max="5102" width="15.42578125" style="220" customWidth="1"/>
    <col min="5103" max="5103" width="20.7109375" style="220" bestFit="1" customWidth="1"/>
    <col min="5104" max="5106" width="20.7109375" style="220" customWidth="1"/>
    <col min="5107" max="5107" width="20.7109375" style="220" bestFit="1" customWidth="1"/>
    <col min="5108" max="5108" width="12.140625" style="220" customWidth="1"/>
    <col min="5109" max="5337" width="8.7109375" style="220" customWidth="1"/>
    <col min="5338" max="5338" width="7.28515625" style="220" customWidth="1"/>
    <col min="5339" max="5339" width="18.28515625" style="220" customWidth="1"/>
    <col min="5340" max="5340" width="23.42578125" style="220" bestFit="1" customWidth="1"/>
    <col min="5341" max="5342" width="10.140625" style="220" bestFit="1" customWidth="1"/>
    <col min="5343" max="5345" width="10.140625" style="220" customWidth="1"/>
    <col min="5346" max="5346" width="16.28515625" style="220" customWidth="1"/>
    <col min="5347" max="5347" width="20.28515625" style="220" bestFit="1" customWidth="1"/>
    <col min="5348" max="5350" width="20.28515625" style="220" customWidth="1"/>
    <col min="5351" max="5351" width="20.28515625" style="220" bestFit="1" customWidth="1"/>
    <col min="5352" max="5352" width="15.42578125" style="220" customWidth="1"/>
    <col min="5353" max="5353" width="20.28515625" style="220" bestFit="1" customWidth="1"/>
    <col min="5354" max="5356" width="20.28515625" style="220" customWidth="1"/>
    <col min="5357" max="5357" width="20.28515625" style="220" bestFit="1" customWidth="1"/>
    <col min="5358" max="5358" width="15.42578125" style="220" customWidth="1"/>
    <col min="5359" max="5359" width="20.7109375" style="220" bestFit="1" customWidth="1"/>
    <col min="5360" max="5362" width="20.7109375" style="220" customWidth="1"/>
    <col min="5363" max="5363" width="20.7109375" style="220" bestFit="1" customWidth="1"/>
    <col min="5364" max="5364" width="12.140625" style="220" customWidth="1"/>
    <col min="5365" max="5593" width="8.7109375" style="220" customWidth="1"/>
    <col min="5594" max="5594" width="7.28515625" style="220" customWidth="1"/>
    <col min="5595" max="5595" width="18.28515625" style="220" customWidth="1"/>
    <col min="5596" max="5596" width="23.42578125" style="220" bestFit="1" customWidth="1"/>
    <col min="5597" max="5598" width="10.140625" style="220" bestFit="1" customWidth="1"/>
    <col min="5599" max="5601" width="10.140625" style="220" customWidth="1"/>
    <col min="5602" max="5602" width="16.28515625" style="220" customWidth="1"/>
    <col min="5603" max="5603" width="20.28515625" style="220" bestFit="1" customWidth="1"/>
    <col min="5604" max="5606" width="20.28515625" style="220" customWidth="1"/>
    <col min="5607" max="5607" width="20.28515625" style="220" bestFit="1" customWidth="1"/>
    <col min="5608" max="5608" width="15.42578125" style="220" customWidth="1"/>
    <col min="5609" max="5609" width="20.28515625" style="220" bestFit="1" customWidth="1"/>
    <col min="5610" max="5612" width="20.28515625" style="220" customWidth="1"/>
    <col min="5613" max="5613" width="20.28515625" style="220" bestFit="1" customWidth="1"/>
    <col min="5614" max="5614" width="15.42578125" style="220" customWidth="1"/>
    <col min="5615" max="5615" width="20.7109375" style="220" bestFit="1" customWidth="1"/>
    <col min="5616" max="5618" width="20.7109375" style="220" customWidth="1"/>
    <col min="5619" max="5619" width="20.7109375" style="220" bestFit="1" customWidth="1"/>
    <col min="5620" max="5620" width="12.140625" style="220" customWidth="1"/>
    <col min="5621" max="5849" width="8.7109375" style="220" customWidth="1"/>
    <col min="5850" max="5850" width="7.28515625" style="220" customWidth="1"/>
    <col min="5851" max="5851" width="18.28515625" style="220" customWidth="1"/>
    <col min="5852" max="5852" width="23.42578125" style="220" bestFit="1" customWidth="1"/>
    <col min="5853" max="5854" width="10.140625" style="220" bestFit="1" customWidth="1"/>
    <col min="5855" max="5857" width="10.140625" style="220" customWidth="1"/>
    <col min="5858" max="5858" width="16.28515625" style="220" customWidth="1"/>
    <col min="5859" max="5859" width="20.28515625" style="220" bestFit="1" customWidth="1"/>
    <col min="5860" max="5862" width="20.28515625" style="220" customWidth="1"/>
    <col min="5863" max="5863" width="20.28515625" style="220" bestFit="1" customWidth="1"/>
    <col min="5864" max="5864" width="15.42578125" style="220" customWidth="1"/>
    <col min="5865" max="5865" width="20.28515625" style="220" bestFit="1" customWidth="1"/>
    <col min="5866" max="5868" width="20.28515625" style="220" customWidth="1"/>
    <col min="5869" max="5869" width="20.28515625" style="220" bestFit="1" customWidth="1"/>
    <col min="5870" max="5870" width="15.42578125" style="220" customWidth="1"/>
    <col min="5871" max="5871" width="20.7109375" style="220" bestFit="1" customWidth="1"/>
    <col min="5872" max="5874" width="20.7109375" style="220" customWidth="1"/>
    <col min="5875" max="5875" width="20.7109375" style="220" bestFit="1" customWidth="1"/>
    <col min="5876" max="5876" width="12.140625" style="220" customWidth="1"/>
    <col min="5877" max="6105" width="8.7109375" style="220" customWidth="1"/>
    <col min="6106" max="6106" width="7.28515625" style="220" customWidth="1"/>
    <col min="6107" max="6107" width="18.28515625" style="220" customWidth="1"/>
    <col min="6108" max="6108" width="23.42578125" style="220" bestFit="1" customWidth="1"/>
    <col min="6109" max="6110" width="10.140625" style="220" bestFit="1" customWidth="1"/>
    <col min="6111" max="6113" width="10.140625" style="220" customWidth="1"/>
    <col min="6114" max="6114" width="16.28515625" style="220" customWidth="1"/>
    <col min="6115" max="6115" width="20.28515625" style="220" bestFit="1" customWidth="1"/>
    <col min="6116" max="6118" width="20.28515625" style="220" customWidth="1"/>
    <col min="6119" max="6119" width="20.28515625" style="220" bestFit="1" customWidth="1"/>
    <col min="6120" max="6120" width="15.42578125" style="220" customWidth="1"/>
    <col min="6121" max="6121" width="20.28515625" style="220" bestFit="1" customWidth="1"/>
    <col min="6122" max="6124" width="20.28515625" style="220" customWidth="1"/>
    <col min="6125" max="6125" width="20.28515625" style="220" bestFit="1" customWidth="1"/>
    <col min="6126" max="6126" width="15.42578125" style="220" customWidth="1"/>
    <col min="6127" max="6127" width="20.7109375" style="220" bestFit="1" customWidth="1"/>
    <col min="6128" max="6130" width="20.7109375" style="220" customWidth="1"/>
    <col min="6131" max="6131" width="20.7109375" style="220" bestFit="1" customWidth="1"/>
    <col min="6132" max="6132" width="12.140625" style="220" customWidth="1"/>
    <col min="6133" max="6361" width="8.7109375" style="220" customWidth="1"/>
    <col min="6362" max="6362" width="7.28515625" style="220" customWidth="1"/>
    <col min="6363" max="6363" width="18.28515625" style="220" customWidth="1"/>
    <col min="6364" max="6364" width="23.42578125" style="220" bestFit="1" customWidth="1"/>
    <col min="6365" max="6366" width="10.140625" style="220" bestFit="1" customWidth="1"/>
    <col min="6367" max="6369" width="10.140625" style="220" customWidth="1"/>
    <col min="6370" max="6370" width="16.28515625" style="220" customWidth="1"/>
    <col min="6371" max="6371" width="20.28515625" style="220" bestFit="1" customWidth="1"/>
    <col min="6372" max="6374" width="20.28515625" style="220" customWidth="1"/>
    <col min="6375" max="6375" width="20.28515625" style="220" bestFit="1" customWidth="1"/>
    <col min="6376" max="6376" width="15.42578125" style="220" customWidth="1"/>
    <col min="6377" max="6377" width="20.28515625" style="220" bestFit="1" customWidth="1"/>
    <col min="6378" max="6380" width="20.28515625" style="220" customWidth="1"/>
    <col min="6381" max="6381" width="20.28515625" style="220" bestFit="1" customWidth="1"/>
    <col min="6382" max="6382" width="15.42578125" style="220" customWidth="1"/>
    <col min="6383" max="6383" width="20.7109375" style="220" bestFit="1" customWidth="1"/>
    <col min="6384" max="6386" width="20.7109375" style="220" customWidth="1"/>
    <col min="6387" max="6387" width="20.7109375" style="220" bestFit="1" customWidth="1"/>
    <col min="6388" max="6388" width="12.140625" style="220" customWidth="1"/>
    <col min="6389" max="6617" width="8.7109375" style="220" customWidth="1"/>
    <col min="6618" max="6618" width="7.28515625" style="220" customWidth="1"/>
    <col min="6619" max="6619" width="18.28515625" style="220" customWidth="1"/>
    <col min="6620" max="6620" width="23.42578125" style="220" bestFit="1" customWidth="1"/>
    <col min="6621" max="6622" width="10.140625" style="220" bestFit="1" customWidth="1"/>
    <col min="6623" max="6625" width="10.140625" style="220" customWidth="1"/>
    <col min="6626" max="6626" width="16.28515625" style="220" customWidth="1"/>
    <col min="6627" max="6627" width="20.28515625" style="220" bestFit="1" customWidth="1"/>
    <col min="6628" max="6630" width="20.28515625" style="220" customWidth="1"/>
    <col min="6631" max="6631" width="20.28515625" style="220" bestFit="1" customWidth="1"/>
    <col min="6632" max="6632" width="15.42578125" style="220" customWidth="1"/>
    <col min="6633" max="6633" width="20.28515625" style="220" bestFit="1" customWidth="1"/>
    <col min="6634" max="6636" width="20.28515625" style="220" customWidth="1"/>
    <col min="6637" max="6637" width="20.28515625" style="220" bestFit="1" customWidth="1"/>
    <col min="6638" max="6638" width="15.42578125" style="220" customWidth="1"/>
    <col min="6639" max="6639" width="20.7109375" style="220" bestFit="1" customWidth="1"/>
    <col min="6640" max="6642" width="20.7109375" style="220" customWidth="1"/>
    <col min="6643" max="6643" width="20.7109375" style="220" bestFit="1" customWidth="1"/>
    <col min="6644" max="6644" width="12.140625" style="220" customWidth="1"/>
    <col min="6645" max="6873" width="8.7109375" style="220" customWidth="1"/>
    <col min="6874" max="6874" width="7.28515625" style="220" customWidth="1"/>
    <col min="6875" max="6875" width="18.28515625" style="220" customWidth="1"/>
    <col min="6876" max="6876" width="23.42578125" style="220" bestFit="1" customWidth="1"/>
    <col min="6877" max="6878" width="10.140625" style="220" bestFit="1" customWidth="1"/>
    <col min="6879" max="6881" width="10.140625" style="220" customWidth="1"/>
    <col min="6882" max="6882" width="16.28515625" style="220" customWidth="1"/>
    <col min="6883" max="6883" width="20.28515625" style="220" bestFit="1" customWidth="1"/>
    <col min="6884" max="6886" width="20.28515625" style="220" customWidth="1"/>
    <col min="6887" max="6887" width="20.28515625" style="220" bestFit="1" customWidth="1"/>
    <col min="6888" max="6888" width="15.42578125" style="220" customWidth="1"/>
    <col min="6889" max="6889" width="20.28515625" style="220" bestFit="1" customWidth="1"/>
    <col min="6890" max="6892" width="20.28515625" style="220" customWidth="1"/>
    <col min="6893" max="6893" width="20.28515625" style="220" bestFit="1" customWidth="1"/>
    <col min="6894" max="6894" width="15.42578125" style="220" customWidth="1"/>
    <col min="6895" max="6895" width="20.7109375" style="220" bestFit="1" customWidth="1"/>
    <col min="6896" max="6898" width="20.7109375" style="220" customWidth="1"/>
    <col min="6899" max="6899" width="20.7109375" style="220" bestFit="1" customWidth="1"/>
    <col min="6900" max="6900" width="12.140625" style="220" customWidth="1"/>
    <col min="6901" max="7129" width="8.7109375" style="220" customWidth="1"/>
    <col min="7130" max="7130" width="7.28515625" style="220" customWidth="1"/>
    <col min="7131" max="7131" width="18.28515625" style="220" customWidth="1"/>
    <col min="7132" max="7132" width="23.42578125" style="220" bestFit="1" customWidth="1"/>
    <col min="7133" max="7134" width="10.140625" style="220" bestFit="1" customWidth="1"/>
    <col min="7135" max="7137" width="10.140625" style="220" customWidth="1"/>
    <col min="7138" max="7138" width="16.28515625" style="220" customWidth="1"/>
    <col min="7139" max="7139" width="20.28515625" style="220" bestFit="1" customWidth="1"/>
    <col min="7140" max="7142" width="20.28515625" style="220" customWidth="1"/>
    <col min="7143" max="7143" width="20.28515625" style="220" bestFit="1" customWidth="1"/>
    <col min="7144" max="7144" width="15.42578125" style="220" customWidth="1"/>
    <col min="7145" max="7145" width="20.28515625" style="220" bestFit="1" customWidth="1"/>
    <col min="7146" max="7148" width="20.28515625" style="220" customWidth="1"/>
    <col min="7149" max="7149" width="20.28515625" style="220" bestFit="1" customWidth="1"/>
    <col min="7150" max="7150" width="15.42578125" style="220" customWidth="1"/>
    <col min="7151" max="7151" width="20.7109375" style="220" bestFit="1" customWidth="1"/>
    <col min="7152" max="7154" width="20.7109375" style="220" customWidth="1"/>
    <col min="7155" max="7155" width="20.7109375" style="220" bestFit="1" customWidth="1"/>
    <col min="7156" max="7156" width="12.140625" style="220" customWidth="1"/>
    <col min="7157" max="7385" width="8.7109375" style="220" customWidth="1"/>
    <col min="7386" max="7386" width="7.28515625" style="220" customWidth="1"/>
    <col min="7387" max="7387" width="18.28515625" style="220" customWidth="1"/>
    <col min="7388" max="7388" width="23.42578125" style="220" bestFit="1" customWidth="1"/>
    <col min="7389" max="7390" width="10.140625" style="220" bestFit="1" customWidth="1"/>
    <col min="7391" max="7393" width="10.140625" style="220" customWidth="1"/>
    <col min="7394" max="7394" width="16.28515625" style="220" customWidth="1"/>
    <col min="7395" max="7395" width="20.28515625" style="220" bestFit="1" customWidth="1"/>
    <col min="7396" max="7398" width="20.28515625" style="220" customWidth="1"/>
    <col min="7399" max="7399" width="20.28515625" style="220" bestFit="1" customWidth="1"/>
    <col min="7400" max="7400" width="15.42578125" style="220" customWidth="1"/>
    <col min="7401" max="7401" width="20.28515625" style="220" bestFit="1" customWidth="1"/>
    <col min="7402" max="7404" width="20.28515625" style="220" customWidth="1"/>
    <col min="7405" max="7405" width="20.28515625" style="220" bestFit="1" customWidth="1"/>
    <col min="7406" max="7406" width="15.42578125" style="220" customWidth="1"/>
    <col min="7407" max="7407" width="20.7109375" style="220" bestFit="1" customWidth="1"/>
    <col min="7408" max="7410" width="20.7109375" style="220" customWidth="1"/>
    <col min="7411" max="7411" width="20.7109375" style="220" bestFit="1" customWidth="1"/>
    <col min="7412" max="7412" width="12.140625" style="220" customWidth="1"/>
    <col min="7413" max="7641" width="8.7109375" style="220" customWidth="1"/>
    <col min="7642" max="7642" width="7.28515625" style="220" customWidth="1"/>
    <col min="7643" max="7643" width="18.28515625" style="220" customWidth="1"/>
    <col min="7644" max="7644" width="23.42578125" style="220" bestFit="1" customWidth="1"/>
    <col min="7645" max="7646" width="10.140625" style="220" bestFit="1" customWidth="1"/>
    <col min="7647" max="7649" width="10.140625" style="220" customWidth="1"/>
    <col min="7650" max="7650" width="16.28515625" style="220" customWidth="1"/>
    <col min="7651" max="7651" width="20.28515625" style="220" bestFit="1" customWidth="1"/>
    <col min="7652" max="7654" width="20.28515625" style="220" customWidth="1"/>
    <col min="7655" max="7655" width="20.28515625" style="220" bestFit="1" customWidth="1"/>
    <col min="7656" max="7656" width="15.42578125" style="220" customWidth="1"/>
    <col min="7657" max="7657" width="20.28515625" style="220" bestFit="1" customWidth="1"/>
    <col min="7658" max="7660" width="20.28515625" style="220" customWidth="1"/>
    <col min="7661" max="7661" width="20.28515625" style="220" bestFit="1" customWidth="1"/>
    <col min="7662" max="7662" width="15.42578125" style="220" customWidth="1"/>
    <col min="7663" max="7663" width="20.7109375" style="220" bestFit="1" customWidth="1"/>
    <col min="7664" max="7666" width="20.7109375" style="220" customWidth="1"/>
    <col min="7667" max="7667" width="20.7109375" style="220" bestFit="1" customWidth="1"/>
    <col min="7668" max="7668" width="12.140625" style="220" customWidth="1"/>
    <col min="7669" max="7897" width="8.7109375" style="220" customWidth="1"/>
    <col min="7898" max="7898" width="7.28515625" style="220" customWidth="1"/>
    <col min="7899" max="7899" width="18.28515625" style="220" customWidth="1"/>
    <col min="7900" max="7900" width="23.42578125" style="220" bestFit="1" customWidth="1"/>
    <col min="7901" max="7902" width="10.140625" style="220" bestFit="1" customWidth="1"/>
    <col min="7903" max="7905" width="10.140625" style="220" customWidth="1"/>
    <col min="7906" max="7906" width="16.28515625" style="220" customWidth="1"/>
    <col min="7907" max="7907" width="20.28515625" style="220" bestFit="1" customWidth="1"/>
    <col min="7908" max="7910" width="20.28515625" style="220" customWidth="1"/>
    <col min="7911" max="7911" width="20.28515625" style="220" bestFit="1" customWidth="1"/>
    <col min="7912" max="7912" width="15.42578125" style="220" customWidth="1"/>
    <col min="7913" max="7913" width="20.28515625" style="220" bestFit="1" customWidth="1"/>
    <col min="7914" max="7916" width="20.28515625" style="220" customWidth="1"/>
    <col min="7917" max="7917" width="20.28515625" style="220" bestFit="1" customWidth="1"/>
    <col min="7918" max="7918" width="15.42578125" style="220" customWidth="1"/>
    <col min="7919" max="7919" width="20.7109375" style="220" bestFit="1" customWidth="1"/>
    <col min="7920" max="7922" width="20.7109375" style="220" customWidth="1"/>
    <col min="7923" max="7923" width="20.7109375" style="220" bestFit="1" customWidth="1"/>
    <col min="7924" max="7924" width="12.140625" style="220" customWidth="1"/>
    <col min="7925" max="8153" width="8.7109375" style="220" customWidth="1"/>
    <col min="8154" max="8154" width="7.28515625" style="220" customWidth="1"/>
    <col min="8155" max="8155" width="18.28515625" style="220" customWidth="1"/>
    <col min="8156" max="8156" width="23.42578125" style="220" bestFit="1" customWidth="1"/>
    <col min="8157" max="8158" width="10.140625" style="220" bestFit="1" customWidth="1"/>
    <col min="8159" max="8161" width="10.140625" style="220" customWidth="1"/>
    <col min="8162" max="8162" width="16.28515625" style="220" customWidth="1"/>
    <col min="8163" max="8163" width="20.28515625" style="220" bestFit="1" customWidth="1"/>
    <col min="8164" max="8166" width="20.28515625" style="220" customWidth="1"/>
    <col min="8167" max="8167" width="20.28515625" style="220" bestFit="1" customWidth="1"/>
    <col min="8168" max="8168" width="15.42578125" style="220" customWidth="1"/>
    <col min="8169" max="8169" width="20.28515625" style="220" bestFit="1" customWidth="1"/>
    <col min="8170" max="8172" width="20.28515625" style="220" customWidth="1"/>
    <col min="8173" max="8173" width="20.28515625" style="220" bestFit="1" customWidth="1"/>
    <col min="8174" max="8174" width="15.42578125" style="220" customWidth="1"/>
    <col min="8175" max="8175" width="20.7109375" style="220" bestFit="1" customWidth="1"/>
    <col min="8176" max="8178" width="20.7109375" style="220" customWidth="1"/>
    <col min="8179" max="8179" width="20.7109375" style="220" bestFit="1" customWidth="1"/>
    <col min="8180" max="8180" width="12.140625" style="220" customWidth="1"/>
    <col min="8181" max="8409" width="8.7109375" style="220" customWidth="1"/>
    <col min="8410" max="8410" width="7.28515625" style="220" customWidth="1"/>
    <col min="8411" max="8411" width="18.28515625" style="220" customWidth="1"/>
    <col min="8412" max="8412" width="23.42578125" style="220" bestFit="1" customWidth="1"/>
    <col min="8413" max="8414" width="10.140625" style="220" bestFit="1" customWidth="1"/>
    <col min="8415" max="8417" width="10.140625" style="220" customWidth="1"/>
    <col min="8418" max="8418" width="16.28515625" style="220" customWidth="1"/>
    <col min="8419" max="8419" width="20.28515625" style="220" bestFit="1" customWidth="1"/>
    <col min="8420" max="8422" width="20.28515625" style="220" customWidth="1"/>
    <col min="8423" max="8423" width="20.28515625" style="220" bestFit="1" customWidth="1"/>
    <col min="8424" max="8424" width="15.42578125" style="220" customWidth="1"/>
    <col min="8425" max="8425" width="20.28515625" style="220" bestFit="1" customWidth="1"/>
    <col min="8426" max="8428" width="20.28515625" style="220" customWidth="1"/>
    <col min="8429" max="8429" width="20.28515625" style="220" bestFit="1" customWidth="1"/>
    <col min="8430" max="8430" width="15.42578125" style="220" customWidth="1"/>
    <col min="8431" max="8431" width="20.7109375" style="220" bestFit="1" customWidth="1"/>
    <col min="8432" max="8434" width="20.7109375" style="220" customWidth="1"/>
    <col min="8435" max="8435" width="20.7109375" style="220" bestFit="1" customWidth="1"/>
    <col min="8436" max="8436" width="12.140625" style="220" customWidth="1"/>
    <col min="8437" max="8665" width="8.7109375" style="220" customWidth="1"/>
    <col min="8666" max="8666" width="7.28515625" style="220" customWidth="1"/>
    <col min="8667" max="8667" width="18.28515625" style="220" customWidth="1"/>
    <col min="8668" max="8668" width="23.42578125" style="220" bestFit="1" customWidth="1"/>
    <col min="8669" max="8670" width="10.140625" style="220" bestFit="1" customWidth="1"/>
    <col min="8671" max="8673" width="10.140625" style="220" customWidth="1"/>
    <col min="8674" max="8674" width="16.28515625" style="220" customWidth="1"/>
    <col min="8675" max="8675" width="20.28515625" style="220" bestFit="1" customWidth="1"/>
    <col min="8676" max="8678" width="20.28515625" style="220" customWidth="1"/>
    <col min="8679" max="8679" width="20.28515625" style="220" bestFit="1" customWidth="1"/>
    <col min="8680" max="8680" width="15.42578125" style="220" customWidth="1"/>
    <col min="8681" max="8681" width="20.28515625" style="220" bestFit="1" customWidth="1"/>
    <col min="8682" max="8684" width="20.28515625" style="220" customWidth="1"/>
    <col min="8685" max="8685" width="20.28515625" style="220" bestFit="1" customWidth="1"/>
    <col min="8686" max="8686" width="15.42578125" style="220" customWidth="1"/>
    <col min="8687" max="8687" width="20.7109375" style="220" bestFit="1" customWidth="1"/>
    <col min="8688" max="8690" width="20.7109375" style="220" customWidth="1"/>
    <col min="8691" max="8691" width="20.7109375" style="220" bestFit="1" customWidth="1"/>
    <col min="8692" max="8692" width="12.140625" style="220" customWidth="1"/>
    <col min="8693" max="8921" width="8.7109375" style="220" customWidth="1"/>
    <col min="8922" max="8922" width="7.28515625" style="220" customWidth="1"/>
    <col min="8923" max="8923" width="18.28515625" style="220" customWidth="1"/>
    <col min="8924" max="8924" width="23.42578125" style="220" bestFit="1" customWidth="1"/>
    <col min="8925" max="8926" width="10.140625" style="220" bestFit="1" customWidth="1"/>
    <col min="8927" max="8929" width="10.140625" style="220" customWidth="1"/>
    <col min="8930" max="8930" width="16.28515625" style="220" customWidth="1"/>
    <col min="8931" max="8931" width="20.28515625" style="220" bestFit="1" customWidth="1"/>
    <col min="8932" max="8934" width="20.28515625" style="220" customWidth="1"/>
    <col min="8935" max="8935" width="20.28515625" style="220" bestFit="1" customWidth="1"/>
    <col min="8936" max="8936" width="15.42578125" style="220" customWidth="1"/>
    <col min="8937" max="8937" width="20.28515625" style="220" bestFit="1" customWidth="1"/>
    <col min="8938" max="8940" width="20.28515625" style="220" customWidth="1"/>
    <col min="8941" max="8941" width="20.28515625" style="220" bestFit="1" customWidth="1"/>
    <col min="8942" max="8942" width="15.42578125" style="220" customWidth="1"/>
    <col min="8943" max="8943" width="20.7109375" style="220" bestFit="1" customWidth="1"/>
    <col min="8944" max="8946" width="20.7109375" style="220" customWidth="1"/>
    <col min="8947" max="8947" width="20.7109375" style="220" bestFit="1" customWidth="1"/>
    <col min="8948" max="8948" width="12.140625" style="220" customWidth="1"/>
    <col min="8949" max="9177" width="8.7109375" style="220" customWidth="1"/>
    <col min="9178" max="9178" width="7.28515625" style="220" customWidth="1"/>
    <col min="9179" max="9179" width="18.28515625" style="220" customWidth="1"/>
    <col min="9180" max="9180" width="23.42578125" style="220" bestFit="1" customWidth="1"/>
    <col min="9181" max="9182" width="10.140625" style="220" bestFit="1" customWidth="1"/>
    <col min="9183" max="9185" width="10.140625" style="220" customWidth="1"/>
    <col min="9186" max="9186" width="16.28515625" style="220" customWidth="1"/>
    <col min="9187" max="9187" width="20.28515625" style="220" bestFit="1" customWidth="1"/>
    <col min="9188" max="9190" width="20.28515625" style="220" customWidth="1"/>
    <col min="9191" max="9191" width="20.28515625" style="220" bestFit="1" customWidth="1"/>
    <col min="9192" max="9192" width="15.42578125" style="220" customWidth="1"/>
    <col min="9193" max="9193" width="20.28515625" style="220" bestFit="1" customWidth="1"/>
    <col min="9194" max="9196" width="20.28515625" style="220" customWidth="1"/>
    <col min="9197" max="9197" width="20.28515625" style="220" bestFit="1" customWidth="1"/>
    <col min="9198" max="9198" width="15.42578125" style="220" customWidth="1"/>
    <col min="9199" max="9199" width="20.7109375" style="220" bestFit="1" customWidth="1"/>
    <col min="9200" max="9202" width="20.7109375" style="220" customWidth="1"/>
    <col min="9203" max="9203" width="20.7109375" style="220" bestFit="1" customWidth="1"/>
    <col min="9204" max="9204" width="12.140625" style="220" customWidth="1"/>
    <col min="9205" max="9433" width="8.7109375" style="220" customWidth="1"/>
    <col min="9434" max="9434" width="7.28515625" style="220" customWidth="1"/>
    <col min="9435" max="9435" width="18.28515625" style="220" customWidth="1"/>
    <col min="9436" max="9436" width="23.42578125" style="220" bestFit="1" customWidth="1"/>
    <col min="9437" max="9438" width="10.140625" style="220" bestFit="1" customWidth="1"/>
    <col min="9439" max="9441" width="10.140625" style="220" customWidth="1"/>
    <col min="9442" max="9442" width="16.28515625" style="220" customWidth="1"/>
    <col min="9443" max="9443" width="20.28515625" style="220" bestFit="1" customWidth="1"/>
    <col min="9444" max="9446" width="20.28515625" style="220" customWidth="1"/>
    <col min="9447" max="9447" width="20.28515625" style="220" bestFit="1" customWidth="1"/>
    <col min="9448" max="9448" width="15.42578125" style="220" customWidth="1"/>
    <col min="9449" max="9449" width="20.28515625" style="220" bestFit="1" customWidth="1"/>
    <col min="9450" max="9452" width="20.28515625" style="220" customWidth="1"/>
    <col min="9453" max="9453" width="20.28515625" style="220" bestFit="1" customWidth="1"/>
    <col min="9454" max="9454" width="15.42578125" style="220" customWidth="1"/>
    <col min="9455" max="9455" width="20.7109375" style="220" bestFit="1" customWidth="1"/>
    <col min="9456" max="9458" width="20.7109375" style="220" customWidth="1"/>
    <col min="9459" max="9459" width="20.7109375" style="220" bestFit="1" customWidth="1"/>
    <col min="9460" max="9460" width="12.140625" style="220" customWidth="1"/>
    <col min="9461" max="9689" width="8.7109375" style="220" customWidth="1"/>
    <col min="9690" max="9690" width="7.28515625" style="220" customWidth="1"/>
    <col min="9691" max="9691" width="18.28515625" style="220" customWidth="1"/>
    <col min="9692" max="9692" width="23.42578125" style="220" bestFit="1" customWidth="1"/>
    <col min="9693" max="9694" width="10.140625" style="220" bestFit="1" customWidth="1"/>
    <col min="9695" max="9697" width="10.140625" style="220" customWidth="1"/>
    <col min="9698" max="9698" width="16.28515625" style="220" customWidth="1"/>
    <col min="9699" max="9699" width="20.28515625" style="220" bestFit="1" customWidth="1"/>
    <col min="9700" max="9702" width="20.28515625" style="220" customWidth="1"/>
    <col min="9703" max="9703" width="20.28515625" style="220" bestFit="1" customWidth="1"/>
    <col min="9704" max="9704" width="15.42578125" style="220" customWidth="1"/>
    <col min="9705" max="9705" width="20.28515625" style="220" bestFit="1" customWidth="1"/>
    <col min="9706" max="9708" width="20.28515625" style="220" customWidth="1"/>
    <col min="9709" max="9709" width="20.28515625" style="220" bestFit="1" customWidth="1"/>
    <col min="9710" max="9710" width="15.42578125" style="220" customWidth="1"/>
    <col min="9711" max="9711" width="20.7109375" style="220" bestFit="1" customWidth="1"/>
    <col min="9712" max="9714" width="20.7109375" style="220" customWidth="1"/>
    <col min="9715" max="9715" width="20.7109375" style="220" bestFit="1" customWidth="1"/>
    <col min="9716" max="9716" width="12.140625" style="220" customWidth="1"/>
    <col min="9717" max="9945" width="8.7109375" style="220" customWidth="1"/>
    <col min="9946" max="9946" width="7.28515625" style="220" customWidth="1"/>
    <col min="9947" max="9947" width="18.28515625" style="220" customWidth="1"/>
    <col min="9948" max="9948" width="23.42578125" style="220" bestFit="1" customWidth="1"/>
    <col min="9949" max="9950" width="10.140625" style="220" bestFit="1" customWidth="1"/>
    <col min="9951" max="9953" width="10.140625" style="220" customWidth="1"/>
    <col min="9954" max="9954" width="16.28515625" style="220" customWidth="1"/>
    <col min="9955" max="9955" width="20.28515625" style="220" bestFit="1" customWidth="1"/>
    <col min="9956" max="9958" width="20.28515625" style="220" customWidth="1"/>
    <col min="9959" max="9959" width="20.28515625" style="220" bestFit="1" customWidth="1"/>
    <col min="9960" max="9960" width="15.42578125" style="220" customWidth="1"/>
    <col min="9961" max="9961" width="20.28515625" style="220" bestFit="1" customWidth="1"/>
    <col min="9962" max="9964" width="20.28515625" style="220" customWidth="1"/>
    <col min="9965" max="9965" width="20.28515625" style="220" bestFit="1" customWidth="1"/>
    <col min="9966" max="9966" width="15.42578125" style="220" customWidth="1"/>
    <col min="9967" max="9967" width="20.7109375" style="220" bestFit="1" customWidth="1"/>
    <col min="9968" max="9970" width="20.7109375" style="220" customWidth="1"/>
    <col min="9971" max="9971" width="20.7109375" style="220" bestFit="1" customWidth="1"/>
    <col min="9972" max="9972" width="12.140625" style="220" customWidth="1"/>
    <col min="9973" max="10201" width="8.7109375" style="220" customWidth="1"/>
    <col min="10202" max="10202" width="7.28515625" style="220" customWidth="1"/>
    <col min="10203" max="10203" width="18.28515625" style="220" customWidth="1"/>
    <col min="10204" max="10204" width="23.42578125" style="220" bestFit="1" customWidth="1"/>
    <col min="10205" max="10206" width="10.140625" style="220" bestFit="1" customWidth="1"/>
    <col min="10207" max="10209" width="10.140625" style="220" customWidth="1"/>
    <col min="10210" max="10210" width="16.28515625" style="220" customWidth="1"/>
    <col min="10211" max="10211" width="20.28515625" style="220" bestFit="1" customWidth="1"/>
    <col min="10212" max="10214" width="20.28515625" style="220" customWidth="1"/>
    <col min="10215" max="10215" width="20.28515625" style="220" bestFit="1" customWidth="1"/>
    <col min="10216" max="10216" width="15.42578125" style="220" customWidth="1"/>
    <col min="10217" max="10217" width="20.28515625" style="220" bestFit="1" customWidth="1"/>
    <col min="10218" max="10220" width="20.28515625" style="220" customWidth="1"/>
    <col min="10221" max="10221" width="20.28515625" style="220" bestFit="1" customWidth="1"/>
    <col min="10222" max="10222" width="15.42578125" style="220" customWidth="1"/>
    <col min="10223" max="10223" width="20.7109375" style="220" bestFit="1" customWidth="1"/>
    <col min="10224" max="10226" width="20.7109375" style="220" customWidth="1"/>
    <col min="10227" max="10227" width="20.7109375" style="220" bestFit="1" customWidth="1"/>
    <col min="10228" max="10228" width="12.140625" style="220" customWidth="1"/>
    <col min="10229" max="10457" width="8.7109375" style="220" customWidth="1"/>
    <col min="10458" max="10458" width="7.28515625" style="220" customWidth="1"/>
    <col min="10459" max="10459" width="18.28515625" style="220" customWidth="1"/>
    <col min="10460" max="10460" width="23.42578125" style="220" bestFit="1" customWidth="1"/>
    <col min="10461" max="10462" width="10.140625" style="220" bestFit="1" customWidth="1"/>
    <col min="10463" max="10465" width="10.140625" style="220" customWidth="1"/>
    <col min="10466" max="10466" width="16.28515625" style="220" customWidth="1"/>
    <col min="10467" max="10467" width="20.28515625" style="220" bestFit="1" customWidth="1"/>
    <col min="10468" max="10470" width="20.28515625" style="220" customWidth="1"/>
    <col min="10471" max="10471" width="20.28515625" style="220" bestFit="1" customWidth="1"/>
    <col min="10472" max="10472" width="15.42578125" style="220" customWidth="1"/>
    <col min="10473" max="10473" width="20.28515625" style="220" bestFit="1" customWidth="1"/>
    <col min="10474" max="10476" width="20.28515625" style="220" customWidth="1"/>
    <col min="10477" max="10477" width="20.28515625" style="220" bestFit="1" customWidth="1"/>
    <col min="10478" max="10478" width="15.42578125" style="220" customWidth="1"/>
    <col min="10479" max="10479" width="20.7109375" style="220" bestFit="1" customWidth="1"/>
    <col min="10480" max="10482" width="20.7109375" style="220" customWidth="1"/>
    <col min="10483" max="10483" width="20.7109375" style="220" bestFit="1" customWidth="1"/>
    <col min="10484" max="10484" width="12.140625" style="220" customWidth="1"/>
    <col min="10485" max="10713" width="8.7109375" style="220" customWidth="1"/>
    <col min="10714" max="10714" width="7.28515625" style="220" customWidth="1"/>
    <col min="10715" max="10715" width="18.28515625" style="220" customWidth="1"/>
    <col min="10716" max="10716" width="23.42578125" style="220" bestFit="1" customWidth="1"/>
    <col min="10717" max="10718" width="10.140625" style="220" bestFit="1" customWidth="1"/>
    <col min="10719" max="10721" width="10.140625" style="220" customWidth="1"/>
    <col min="10722" max="10722" width="16.28515625" style="220" customWidth="1"/>
    <col min="10723" max="10723" width="20.28515625" style="220" bestFit="1" customWidth="1"/>
    <col min="10724" max="10726" width="20.28515625" style="220" customWidth="1"/>
    <col min="10727" max="10727" width="20.28515625" style="220" bestFit="1" customWidth="1"/>
    <col min="10728" max="10728" width="15.42578125" style="220" customWidth="1"/>
    <col min="10729" max="10729" width="20.28515625" style="220" bestFit="1" customWidth="1"/>
    <col min="10730" max="10732" width="20.28515625" style="220" customWidth="1"/>
    <col min="10733" max="10733" width="20.28515625" style="220" bestFit="1" customWidth="1"/>
    <col min="10734" max="10734" width="15.42578125" style="220" customWidth="1"/>
    <col min="10735" max="10735" width="20.7109375" style="220" bestFit="1" customWidth="1"/>
    <col min="10736" max="10738" width="20.7109375" style="220" customWidth="1"/>
    <col min="10739" max="10739" width="20.7109375" style="220" bestFit="1" customWidth="1"/>
    <col min="10740" max="10740" width="12.140625" style="220" customWidth="1"/>
    <col min="10741" max="10969" width="8.7109375" style="220" customWidth="1"/>
    <col min="10970" max="10970" width="7.28515625" style="220" customWidth="1"/>
    <col min="10971" max="10971" width="18.28515625" style="220" customWidth="1"/>
    <col min="10972" max="10972" width="23.42578125" style="220" bestFit="1" customWidth="1"/>
    <col min="10973" max="10974" width="10.140625" style="220" bestFit="1" customWidth="1"/>
    <col min="10975" max="10977" width="10.140625" style="220" customWidth="1"/>
    <col min="10978" max="10978" width="16.28515625" style="220" customWidth="1"/>
    <col min="10979" max="10979" width="20.28515625" style="220" bestFit="1" customWidth="1"/>
    <col min="10980" max="10982" width="20.28515625" style="220" customWidth="1"/>
    <col min="10983" max="10983" width="20.28515625" style="220" bestFit="1" customWidth="1"/>
    <col min="10984" max="10984" width="15.42578125" style="220" customWidth="1"/>
    <col min="10985" max="10985" width="20.28515625" style="220" bestFit="1" customWidth="1"/>
    <col min="10986" max="10988" width="20.28515625" style="220" customWidth="1"/>
    <col min="10989" max="10989" width="20.28515625" style="220" bestFit="1" customWidth="1"/>
    <col min="10990" max="10990" width="15.42578125" style="220" customWidth="1"/>
    <col min="10991" max="10991" width="20.7109375" style="220" bestFit="1" customWidth="1"/>
    <col min="10992" max="10994" width="20.7109375" style="220" customWidth="1"/>
    <col min="10995" max="10995" width="20.7109375" style="220" bestFit="1" customWidth="1"/>
    <col min="10996" max="10996" width="12.140625" style="220" customWidth="1"/>
    <col min="10997" max="11225" width="8.7109375" style="220" customWidth="1"/>
    <col min="11226" max="11226" width="7.28515625" style="220" customWidth="1"/>
    <col min="11227" max="11227" width="18.28515625" style="220" customWidth="1"/>
    <col min="11228" max="11228" width="23.42578125" style="220" bestFit="1" customWidth="1"/>
    <col min="11229" max="11230" width="10.140625" style="220" bestFit="1" customWidth="1"/>
    <col min="11231" max="11233" width="10.140625" style="220" customWidth="1"/>
    <col min="11234" max="11234" width="16.28515625" style="220" customWidth="1"/>
    <col min="11235" max="11235" width="20.28515625" style="220" bestFit="1" customWidth="1"/>
    <col min="11236" max="11238" width="20.28515625" style="220" customWidth="1"/>
    <col min="11239" max="11239" width="20.28515625" style="220" bestFit="1" customWidth="1"/>
    <col min="11240" max="11240" width="15.42578125" style="220" customWidth="1"/>
    <col min="11241" max="11241" width="20.28515625" style="220" bestFit="1" customWidth="1"/>
    <col min="11242" max="11244" width="20.28515625" style="220" customWidth="1"/>
    <col min="11245" max="11245" width="20.28515625" style="220" bestFit="1" customWidth="1"/>
    <col min="11246" max="11246" width="15.42578125" style="220" customWidth="1"/>
    <col min="11247" max="11247" width="20.7109375" style="220" bestFit="1" customWidth="1"/>
    <col min="11248" max="11250" width="20.7109375" style="220" customWidth="1"/>
    <col min="11251" max="11251" width="20.7109375" style="220" bestFit="1" customWidth="1"/>
    <col min="11252" max="11252" width="12.140625" style="220" customWidth="1"/>
    <col min="11253" max="11481" width="8.7109375" style="220" customWidth="1"/>
    <col min="11482" max="11482" width="7.28515625" style="220" customWidth="1"/>
    <col min="11483" max="11483" width="18.28515625" style="220" customWidth="1"/>
    <col min="11484" max="11484" width="23.42578125" style="220" bestFit="1" customWidth="1"/>
    <col min="11485" max="11486" width="10.140625" style="220" bestFit="1" customWidth="1"/>
    <col min="11487" max="11489" width="10.140625" style="220" customWidth="1"/>
    <col min="11490" max="11490" width="16.28515625" style="220" customWidth="1"/>
    <col min="11491" max="11491" width="20.28515625" style="220" bestFit="1" customWidth="1"/>
    <col min="11492" max="11494" width="20.28515625" style="220" customWidth="1"/>
    <col min="11495" max="11495" width="20.28515625" style="220" bestFit="1" customWidth="1"/>
    <col min="11496" max="11496" width="15.42578125" style="220" customWidth="1"/>
    <col min="11497" max="11497" width="20.28515625" style="220" bestFit="1" customWidth="1"/>
    <col min="11498" max="11500" width="20.28515625" style="220" customWidth="1"/>
    <col min="11501" max="11501" width="20.28515625" style="220" bestFit="1" customWidth="1"/>
    <col min="11502" max="11502" width="15.42578125" style="220" customWidth="1"/>
    <col min="11503" max="11503" width="20.7109375" style="220" bestFit="1" customWidth="1"/>
    <col min="11504" max="11506" width="20.7109375" style="220" customWidth="1"/>
    <col min="11507" max="11507" width="20.7109375" style="220" bestFit="1" customWidth="1"/>
    <col min="11508" max="11508" width="12.140625" style="220" customWidth="1"/>
    <col min="11509" max="11737" width="8.7109375" style="220" customWidth="1"/>
    <col min="11738" max="11738" width="7.28515625" style="220" customWidth="1"/>
    <col min="11739" max="11739" width="18.28515625" style="220" customWidth="1"/>
    <col min="11740" max="11740" width="23.42578125" style="220" bestFit="1" customWidth="1"/>
    <col min="11741" max="11742" width="10.140625" style="220" bestFit="1" customWidth="1"/>
    <col min="11743" max="11745" width="10.140625" style="220" customWidth="1"/>
    <col min="11746" max="11746" width="16.28515625" style="220" customWidth="1"/>
    <col min="11747" max="11747" width="20.28515625" style="220" bestFit="1" customWidth="1"/>
    <col min="11748" max="11750" width="20.28515625" style="220" customWidth="1"/>
    <col min="11751" max="11751" width="20.28515625" style="220" bestFit="1" customWidth="1"/>
    <col min="11752" max="11752" width="15.42578125" style="220" customWidth="1"/>
    <col min="11753" max="11753" width="20.28515625" style="220" bestFit="1" customWidth="1"/>
    <col min="11754" max="11756" width="20.28515625" style="220" customWidth="1"/>
    <col min="11757" max="11757" width="20.28515625" style="220" bestFit="1" customWidth="1"/>
    <col min="11758" max="11758" width="15.42578125" style="220" customWidth="1"/>
    <col min="11759" max="11759" width="20.7109375" style="220" bestFit="1" customWidth="1"/>
    <col min="11760" max="11762" width="20.7109375" style="220" customWidth="1"/>
    <col min="11763" max="11763" width="20.7109375" style="220" bestFit="1" customWidth="1"/>
    <col min="11764" max="11764" width="12.140625" style="220" customWidth="1"/>
    <col min="11765" max="11993" width="8.7109375" style="220" customWidth="1"/>
    <col min="11994" max="11994" width="7.28515625" style="220" customWidth="1"/>
    <col min="11995" max="11995" width="18.28515625" style="220" customWidth="1"/>
    <col min="11996" max="11996" width="23.42578125" style="220" bestFit="1" customWidth="1"/>
    <col min="11997" max="11998" width="10.140625" style="220" bestFit="1" customWidth="1"/>
    <col min="11999" max="12001" width="10.140625" style="220" customWidth="1"/>
    <col min="12002" max="12002" width="16.28515625" style="220" customWidth="1"/>
    <col min="12003" max="12003" width="20.28515625" style="220" bestFit="1" customWidth="1"/>
    <col min="12004" max="12006" width="20.28515625" style="220" customWidth="1"/>
    <col min="12007" max="12007" width="20.28515625" style="220" bestFit="1" customWidth="1"/>
    <col min="12008" max="12008" width="15.42578125" style="220" customWidth="1"/>
    <col min="12009" max="12009" width="20.28515625" style="220" bestFit="1" customWidth="1"/>
    <col min="12010" max="12012" width="20.28515625" style="220" customWidth="1"/>
    <col min="12013" max="12013" width="20.28515625" style="220" bestFit="1" customWidth="1"/>
    <col min="12014" max="12014" width="15.42578125" style="220" customWidth="1"/>
    <col min="12015" max="12015" width="20.7109375" style="220" bestFit="1" customWidth="1"/>
    <col min="12016" max="12018" width="20.7109375" style="220" customWidth="1"/>
    <col min="12019" max="12019" width="20.7109375" style="220" bestFit="1" customWidth="1"/>
    <col min="12020" max="12020" width="12.140625" style="220" customWidth="1"/>
    <col min="12021" max="12249" width="8.7109375" style="220" customWidth="1"/>
    <col min="12250" max="12250" width="7.28515625" style="220" customWidth="1"/>
    <col min="12251" max="12251" width="18.28515625" style="220" customWidth="1"/>
    <col min="12252" max="12252" width="23.42578125" style="220" bestFit="1" customWidth="1"/>
    <col min="12253" max="12254" width="10.140625" style="220" bestFit="1" customWidth="1"/>
    <col min="12255" max="12257" width="10.140625" style="220" customWidth="1"/>
    <col min="12258" max="12258" width="16.28515625" style="220" customWidth="1"/>
    <col min="12259" max="12259" width="20.28515625" style="220" bestFit="1" customWidth="1"/>
    <col min="12260" max="12262" width="20.28515625" style="220" customWidth="1"/>
    <col min="12263" max="12263" width="20.28515625" style="220" bestFit="1" customWidth="1"/>
    <col min="12264" max="12264" width="15.42578125" style="220" customWidth="1"/>
    <col min="12265" max="12265" width="20.28515625" style="220" bestFit="1" customWidth="1"/>
    <col min="12266" max="12268" width="20.28515625" style="220" customWidth="1"/>
    <col min="12269" max="12269" width="20.28515625" style="220" bestFit="1" customWidth="1"/>
    <col min="12270" max="12270" width="15.42578125" style="220" customWidth="1"/>
    <col min="12271" max="12271" width="20.7109375" style="220" bestFit="1" customWidth="1"/>
    <col min="12272" max="12274" width="20.7109375" style="220" customWidth="1"/>
    <col min="12275" max="12275" width="20.7109375" style="220" bestFit="1" customWidth="1"/>
    <col min="12276" max="12276" width="12.140625" style="220" customWidth="1"/>
    <col min="12277" max="12505" width="8.7109375" style="220" customWidth="1"/>
    <col min="12506" max="12506" width="7.28515625" style="220" customWidth="1"/>
    <col min="12507" max="12507" width="18.28515625" style="220" customWidth="1"/>
    <col min="12508" max="12508" width="23.42578125" style="220" bestFit="1" customWidth="1"/>
    <col min="12509" max="12510" width="10.140625" style="220" bestFit="1" customWidth="1"/>
    <col min="12511" max="12513" width="10.140625" style="220" customWidth="1"/>
    <col min="12514" max="12514" width="16.28515625" style="220" customWidth="1"/>
    <col min="12515" max="12515" width="20.28515625" style="220" bestFit="1" customWidth="1"/>
    <col min="12516" max="12518" width="20.28515625" style="220" customWidth="1"/>
    <col min="12519" max="12519" width="20.28515625" style="220" bestFit="1" customWidth="1"/>
    <col min="12520" max="12520" width="15.42578125" style="220" customWidth="1"/>
    <col min="12521" max="12521" width="20.28515625" style="220" bestFit="1" customWidth="1"/>
    <col min="12522" max="12524" width="20.28515625" style="220" customWidth="1"/>
    <col min="12525" max="12525" width="20.28515625" style="220" bestFit="1" customWidth="1"/>
    <col min="12526" max="12526" width="15.42578125" style="220" customWidth="1"/>
    <col min="12527" max="12527" width="20.7109375" style="220" bestFit="1" customWidth="1"/>
    <col min="12528" max="12530" width="20.7109375" style="220" customWidth="1"/>
    <col min="12531" max="12531" width="20.7109375" style="220" bestFit="1" customWidth="1"/>
    <col min="12532" max="12532" width="12.140625" style="220" customWidth="1"/>
    <col min="12533" max="12761" width="8.7109375" style="220" customWidth="1"/>
    <col min="12762" max="12762" width="7.28515625" style="220" customWidth="1"/>
    <col min="12763" max="12763" width="18.28515625" style="220" customWidth="1"/>
    <col min="12764" max="12764" width="23.42578125" style="220" bestFit="1" customWidth="1"/>
    <col min="12765" max="12766" width="10.140625" style="220" bestFit="1" customWidth="1"/>
    <col min="12767" max="12769" width="10.140625" style="220" customWidth="1"/>
    <col min="12770" max="12770" width="16.28515625" style="220" customWidth="1"/>
    <col min="12771" max="12771" width="20.28515625" style="220" bestFit="1" customWidth="1"/>
    <col min="12772" max="12774" width="20.28515625" style="220" customWidth="1"/>
    <col min="12775" max="12775" width="20.28515625" style="220" bestFit="1" customWidth="1"/>
    <col min="12776" max="12776" width="15.42578125" style="220" customWidth="1"/>
    <col min="12777" max="12777" width="20.28515625" style="220" bestFit="1" customWidth="1"/>
    <col min="12778" max="12780" width="20.28515625" style="220" customWidth="1"/>
    <col min="12781" max="12781" width="20.28515625" style="220" bestFit="1" customWidth="1"/>
    <col min="12782" max="12782" width="15.42578125" style="220" customWidth="1"/>
    <col min="12783" max="12783" width="20.7109375" style="220" bestFit="1" customWidth="1"/>
    <col min="12784" max="12786" width="20.7109375" style="220" customWidth="1"/>
    <col min="12787" max="12787" width="20.7109375" style="220" bestFit="1" customWidth="1"/>
    <col min="12788" max="12788" width="12.140625" style="220" customWidth="1"/>
    <col min="12789" max="13017" width="8.7109375" style="220" customWidth="1"/>
    <col min="13018" max="13018" width="7.28515625" style="220" customWidth="1"/>
    <col min="13019" max="13019" width="18.28515625" style="220" customWidth="1"/>
    <col min="13020" max="13020" width="23.42578125" style="220" bestFit="1" customWidth="1"/>
    <col min="13021" max="13022" width="10.140625" style="220" bestFit="1" customWidth="1"/>
    <col min="13023" max="13025" width="10.140625" style="220" customWidth="1"/>
    <col min="13026" max="13026" width="16.28515625" style="220" customWidth="1"/>
    <col min="13027" max="13027" width="20.28515625" style="220" bestFit="1" customWidth="1"/>
    <col min="13028" max="13030" width="20.28515625" style="220" customWidth="1"/>
    <col min="13031" max="13031" width="20.28515625" style="220" bestFit="1" customWidth="1"/>
    <col min="13032" max="13032" width="15.42578125" style="220" customWidth="1"/>
    <col min="13033" max="13033" width="20.28515625" style="220" bestFit="1" customWidth="1"/>
    <col min="13034" max="13036" width="20.28515625" style="220" customWidth="1"/>
    <col min="13037" max="13037" width="20.28515625" style="220" bestFit="1" customWidth="1"/>
    <col min="13038" max="13038" width="15.42578125" style="220" customWidth="1"/>
    <col min="13039" max="13039" width="20.7109375" style="220" bestFit="1" customWidth="1"/>
    <col min="13040" max="13042" width="20.7109375" style="220" customWidth="1"/>
    <col min="13043" max="13043" width="20.7109375" style="220" bestFit="1" customWidth="1"/>
    <col min="13044" max="13044" width="12.140625" style="220" customWidth="1"/>
    <col min="13045" max="13273" width="8.7109375" style="220" customWidth="1"/>
    <col min="13274" max="13274" width="7.28515625" style="220" customWidth="1"/>
    <col min="13275" max="13275" width="18.28515625" style="220" customWidth="1"/>
    <col min="13276" max="13276" width="23.42578125" style="220" bestFit="1" customWidth="1"/>
    <col min="13277" max="13278" width="10.140625" style="220" bestFit="1" customWidth="1"/>
    <col min="13279" max="13281" width="10.140625" style="220" customWidth="1"/>
    <col min="13282" max="13282" width="16.28515625" style="220" customWidth="1"/>
    <col min="13283" max="13283" width="20.28515625" style="220" bestFit="1" customWidth="1"/>
    <col min="13284" max="13286" width="20.28515625" style="220" customWidth="1"/>
    <col min="13287" max="13287" width="20.28515625" style="220" bestFit="1" customWidth="1"/>
    <col min="13288" max="13288" width="15.42578125" style="220" customWidth="1"/>
    <col min="13289" max="13289" width="20.28515625" style="220" bestFit="1" customWidth="1"/>
    <col min="13290" max="13292" width="20.28515625" style="220" customWidth="1"/>
    <col min="13293" max="13293" width="20.28515625" style="220" bestFit="1" customWidth="1"/>
    <col min="13294" max="13294" width="15.42578125" style="220" customWidth="1"/>
    <col min="13295" max="13295" width="20.7109375" style="220" bestFit="1" customWidth="1"/>
    <col min="13296" max="13298" width="20.7109375" style="220" customWidth="1"/>
    <col min="13299" max="13299" width="20.7109375" style="220" bestFit="1" customWidth="1"/>
    <col min="13300" max="13300" width="12.140625" style="220" customWidth="1"/>
    <col min="13301" max="13529" width="8.7109375" style="220" customWidth="1"/>
    <col min="13530" max="13530" width="7.28515625" style="220" customWidth="1"/>
    <col min="13531" max="13531" width="18.28515625" style="220" customWidth="1"/>
    <col min="13532" max="13532" width="23.42578125" style="220" bestFit="1" customWidth="1"/>
    <col min="13533" max="13534" width="10.140625" style="220" bestFit="1" customWidth="1"/>
    <col min="13535" max="13537" width="10.140625" style="220" customWidth="1"/>
    <col min="13538" max="13538" width="16.28515625" style="220" customWidth="1"/>
    <col min="13539" max="13539" width="20.28515625" style="220" bestFit="1" customWidth="1"/>
    <col min="13540" max="13542" width="20.28515625" style="220" customWidth="1"/>
    <col min="13543" max="13543" width="20.28515625" style="220" bestFit="1" customWidth="1"/>
    <col min="13544" max="13544" width="15.42578125" style="220" customWidth="1"/>
    <col min="13545" max="13545" width="20.28515625" style="220" bestFit="1" customWidth="1"/>
    <col min="13546" max="13548" width="20.28515625" style="220" customWidth="1"/>
    <col min="13549" max="13549" width="20.28515625" style="220" bestFit="1" customWidth="1"/>
    <col min="13550" max="13550" width="15.42578125" style="220" customWidth="1"/>
    <col min="13551" max="13551" width="20.7109375" style="220" bestFit="1" customWidth="1"/>
    <col min="13552" max="13554" width="20.7109375" style="220" customWidth="1"/>
    <col min="13555" max="13555" width="20.7109375" style="220" bestFit="1" customWidth="1"/>
    <col min="13556" max="13556" width="12.140625" style="220" customWidth="1"/>
    <col min="13557" max="13785" width="8.7109375" style="220" customWidth="1"/>
    <col min="13786" max="13786" width="7.28515625" style="220" customWidth="1"/>
    <col min="13787" max="13787" width="18.28515625" style="220" customWidth="1"/>
    <col min="13788" max="13788" width="23.42578125" style="220" bestFit="1" customWidth="1"/>
    <col min="13789" max="13790" width="10.140625" style="220" bestFit="1" customWidth="1"/>
    <col min="13791" max="13793" width="10.140625" style="220" customWidth="1"/>
    <col min="13794" max="13794" width="16.28515625" style="220" customWidth="1"/>
    <col min="13795" max="13795" width="20.28515625" style="220" bestFit="1" customWidth="1"/>
    <col min="13796" max="13798" width="20.28515625" style="220" customWidth="1"/>
    <col min="13799" max="13799" width="20.28515625" style="220" bestFit="1" customWidth="1"/>
    <col min="13800" max="13800" width="15.42578125" style="220" customWidth="1"/>
    <col min="13801" max="13801" width="20.28515625" style="220" bestFit="1" customWidth="1"/>
    <col min="13802" max="13804" width="20.28515625" style="220" customWidth="1"/>
    <col min="13805" max="13805" width="20.28515625" style="220" bestFit="1" customWidth="1"/>
    <col min="13806" max="13806" width="15.42578125" style="220" customWidth="1"/>
    <col min="13807" max="13807" width="20.7109375" style="220" bestFit="1" customWidth="1"/>
    <col min="13808" max="13810" width="20.7109375" style="220" customWidth="1"/>
    <col min="13811" max="13811" width="20.7109375" style="220" bestFit="1" customWidth="1"/>
    <col min="13812" max="13812" width="12.140625" style="220" customWidth="1"/>
    <col min="13813" max="14041" width="8.7109375" style="220" customWidth="1"/>
    <col min="14042" max="14042" width="7.28515625" style="220" customWidth="1"/>
    <col min="14043" max="14043" width="18.28515625" style="220" customWidth="1"/>
    <col min="14044" max="14044" width="23.42578125" style="220" bestFit="1" customWidth="1"/>
    <col min="14045" max="14046" width="10.140625" style="220" bestFit="1" customWidth="1"/>
    <col min="14047" max="14049" width="10.140625" style="220" customWidth="1"/>
    <col min="14050" max="14050" width="16.28515625" style="220" customWidth="1"/>
    <col min="14051" max="14051" width="20.28515625" style="220" bestFit="1" customWidth="1"/>
    <col min="14052" max="14054" width="20.28515625" style="220" customWidth="1"/>
    <col min="14055" max="14055" width="20.28515625" style="220" bestFit="1" customWidth="1"/>
    <col min="14056" max="14056" width="15.42578125" style="220" customWidth="1"/>
    <col min="14057" max="14057" width="20.28515625" style="220" bestFit="1" customWidth="1"/>
    <col min="14058" max="14060" width="20.28515625" style="220" customWidth="1"/>
    <col min="14061" max="14061" width="20.28515625" style="220" bestFit="1" customWidth="1"/>
    <col min="14062" max="14062" width="15.42578125" style="220" customWidth="1"/>
    <col min="14063" max="14063" width="20.7109375" style="220" bestFit="1" customWidth="1"/>
    <col min="14064" max="14066" width="20.7109375" style="220" customWidth="1"/>
    <col min="14067" max="14067" width="20.7109375" style="220" bestFit="1" customWidth="1"/>
    <col min="14068" max="14068" width="12.140625" style="220" customWidth="1"/>
    <col min="14069" max="14297" width="8.7109375" style="220" customWidth="1"/>
    <col min="14298" max="14298" width="7.28515625" style="220" customWidth="1"/>
    <col min="14299" max="14299" width="18.28515625" style="220" customWidth="1"/>
    <col min="14300" max="14300" width="23.42578125" style="220" bestFit="1" customWidth="1"/>
    <col min="14301" max="14302" width="10.140625" style="220" bestFit="1" customWidth="1"/>
    <col min="14303" max="14305" width="10.140625" style="220" customWidth="1"/>
    <col min="14306" max="14306" width="16.28515625" style="220" customWidth="1"/>
    <col min="14307" max="14307" width="20.28515625" style="220" bestFit="1" customWidth="1"/>
    <col min="14308" max="14310" width="20.28515625" style="220" customWidth="1"/>
    <col min="14311" max="14311" width="20.28515625" style="220" bestFit="1" customWidth="1"/>
    <col min="14312" max="14312" width="15.42578125" style="220" customWidth="1"/>
    <col min="14313" max="14313" width="20.28515625" style="220" bestFit="1" customWidth="1"/>
    <col min="14314" max="14316" width="20.28515625" style="220" customWidth="1"/>
    <col min="14317" max="14317" width="20.28515625" style="220" bestFit="1" customWidth="1"/>
    <col min="14318" max="14318" width="15.42578125" style="220" customWidth="1"/>
    <col min="14319" max="14319" width="20.7109375" style="220" bestFit="1" customWidth="1"/>
    <col min="14320" max="14322" width="20.7109375" style="220" customWidth="1"/>
    <col min="14323" max="14323" width="20.7109375" style="220" bestFit="1" customWidth="1"/>
    <col min="14324" max="14324" width="12.140625" style="220" customWidth="1"/>
    <col min="14325" max="14553" width="8.7109375" style="220" customWidth="1"/>
    <col min="14554" max="14554" width="7.28515625" style="220" customWidth="1"/>
    <col min="14555" max="14555" width="18.28515625" style="220" customWidth="1"/>
    <col min="14556" max="14556" width="23.42578125" style="220" bestFit="1" customWidth="1"/>
    <col min="14557" max="14558" width="10.140625" style="220" bestFit="1" customWidth="1"/>
    <col min="14559" max="14561" width="10.140625" style="220" customWidth="1"/>
    <col min="14562" max="14562" width="16.28515625" style="220" customWidth="1"/>
    <col min="14563" max="14563" width="20.28515625" style="220" bestFit="1" customWidth="1"/>
    <col min="14564" max="14566" width="20.28515625" style="220" customWidth="1"/>
    <col min="14567" max="14567" width="20.28515625" style="220" bestFit="1" customWidth="1"/>
    <col min="14568" max="14568" width="15.42578125" style="220" customWidth="1"/>
    <col min="14569" max="14569" width="20.28515625" style="220" bestFit="1" customWidth="1"/>
    <col min="14570" max="14572" width="20.28515625" style="220" customWidth="1"/>
    <col min="14573" max="14573" width="20.28515625" style="220" bestFit="1" customWidth="1"/>
    <col min="14574" max="14574" width="15.42578125" style="220" customWidth="1"/>
    <col min="14575" max="14575" width="20.7109375" style="220" bestFit="1" customWidth="1"/>
    <col min="14576" max="14578" width="20.7109375" style="220" customWidth="1"/>
    <col min="14579" max="14579" width="20.7109375" style="220" bestFit="1" customWidth="1"/>
    <col min="14580" max="14580" width="12.140625" style="220" customWidth="1"/>
    <col min="14581" max="14809" width="8.7109375" style="220" customWidth="1"/>
    <col min="14810" max="14810" width="7.28515625" style="220" customWidth="1"/>
    <col min="14811" max="14811" width="18.28515625" style="220" customWidth="1"/>
    <col min="14812" max="14812" width="23.42578125" style="220" bestFit="1" customWidth="1"/>
    <col min="14813" max="14814" width="10.140625" style="220" bestFit="1" customWidth="1"/>
    <col min="14815" max="14817" width="10.140625" style="220" customWidth="1"/>
    <col min="14818" max="14818" width="16.28515625" style="220" customWidth="1"/>
    <col min="14819" max="14819" width="20.28515625" style="220" bestFit="1" customWidth="1"/>
    <col min="14820" max="14822" width="20.28515625" style="220" customWidth="1"/>
    <col min="14823" max="14823" width="20.28515625" style="220" bestFit="1" customWidth="1"/>
    <col min="14824" max="14824" width="15.42578125" style="220" customWidth="1"/>
    <col min="14825" max="14825" width="20.28515625" style="220" bestFit="1" customWidth="1"/>
    <col min="14826" max="14828" width="20.28515625" style="220" customWidth="1"/>
    <col min="14829" max="14829" width="20.28515625" style="220" bestFit="1" customWidth="1"/>
    <col min="14830" max="14830" width="15.42578125" style="220" customWidth="1"/>
    <col min="14831" max="14831" width="20.7109375" style="220" bestFit="1" customWidth="1"/>
    <col min="14832" max="14834" width="20.7109375" style="220" customWidth="1"/>
    <col min="14835" max="14835" width="20.7109375" style="220" bestFit="1" customWidth="1"/>
    <col min="14836" max="14836" width="12.140625" style="220" customWidth="1"/>
    <col min="14837" max="15065" width="8.7109375" style="220" customWidth="1"/>
    <col min="15066" max="15066" width="7.28515625" style="220" customWidth="1"/>
    <col min="15067" max="15067" width="18.28515625" style="220" customWidth="1"/>
    <col min="15068" max="15068" width="23.42578125" style="220" bestFit="1" customWidth="1"/>
    <col min="15069" max="15070" width="10.140625" style="220" bestFit="1" customWidth="1"/>
    <col min="15071" max="15073" width="10.140625" style="220" customWidth="1"/>
    <col min="15074" max="15074" width="16.28515625" style="220" customWidth="1"/>
    <col min="15075" max="15075" width="20.28515625" style="220" bestFit="1" customWidth="1"/>
    <col min="15076" max="15078" width="20.28515625" style="220" customWidth="1"/>
    <col min="15079" max="15079" width="20.28515625" style="220" bestFit="1" customWidth="1"/>
    <col min="15080" max="15080" width="15.42578125" style="220" customWidth="1"/>
    <col min="15081" max="15081" width="20.28515625" style="220" bestFit="1" customWidth="1"/>
    <col min="15082" max="15084" width="20.28515625" style="220" customWidth="1"/>
    <col min="15085" max="15085" width="20.28515625" style="220" bestFit="1" customWidth="1"/>
    <col min="15086" max="15086" width="15.42578125" style="220" customWidth="1"/>
    <col min="15087" max="15087" width="20.7109375" style="220" bestFit="1" customWidth="1"/>
    <col min="15088" max="15090" width="20.7109375" style="220" customWidth="1"/>
    <col min="15091" max="15091" width="20.7109375" style="220" bestFit="1" customWidth="1"/>
    <col min="15092" max="15092" width="12.140625" style="220" customWidth="1"/>
    <col min="15093" max="15321" width="8.7109375" style="220" customWidth="1"/>
    <col min="15322" max="15322" width="7.28515625" style="220" customWidth="1"/>
    <col min="15323" max="15323" width="18.28515625" style="220" customWidth="1"/>
    <col min="15324" max="15324" width="23.42578125" style="220" bestFit="1" customWidth="1"/>
    <col min="15325" max="15326" width="10.140625" style="220" bestFit="1" customWidth="1"/>
    <col min="15327" max="15329" width="10.140625" style="220" customWidth="1"/>
    <col min="15330" max="15330" width="16.28515625" style="220" customWidth="1"/>
    <col min="15331" max="15331" width="20.28515625" style="220" bestFit="1" customWidth="1"/>
    <col min="15332" max="15334" width="20.28515625" style="220" customWidth="1"/>
    <col min="15335" max="15335" width="20.28515625" style="220" bestFit="1" customWidth="1"/>
    <col min="15336" max="15336" width="15.42578125" style="220" customWidth="1"/>
    <col min="15337" max="15337" width="20.28515625" style="220" bestFit="1" customWidth="1"/>
    <col min="15338" max="15340" width="20.28515625" style="220" customWidth="1"/>
    <col min="15341" max="15341" width="20.28515625" style="220" bestFit="1" customWidth="1"/>
    <col min="15342" max="15342" width="15.42578125" style="220" customWidth="1"/>
    <col min="15343" max="15343" width="20.7109375" style="220" bestFit="1" customWidth="1"/>
    <col min="15344" max="15346" width="20.7109375" style="220" customWidth="1"/>
    <col min="15347" max="15347" width="20.7109375" style="220" bestFit="1" customWidth="1"/>
    <col min="15348" max="15348" width="12.140625" style="220" customWidth="1"/>
    <col min="15349" max="15577" width="8.7109375" style="220" customWidth="1"/>
    <col min="15578" max="15578" width="7.28515625" style="220" customWidth="1"/>
    <col min="15579" max="15579" width="18.28515625" style="220" customWidth="1"/>
    <col min="15580" max="15580" width="23.42578125" style="220" bestFit="1" customWidth="1"/>
    <col min="15581" max="15582" width="10.140625" style="220" bestFit="1" customWidth="1"/>
    <col min="15583" max="15585" width="10.140625" style="220" customWidth="1"/>
    <col min="15586" max="15586" width="16.28515625" style="220" customWidth="1"/>
    <col min="15587" max="15587" width="20.28515625" style="220" bestFit="1" customWidth="1"/>
    <col min="15588" max="15590" width="20.28515625" style="220" customWidth="1"/>
    <col min="15591" max="15591" width="20.28515625" style="220" bestFit="1" customWidth="1"/>
    <col min="15592" max="15592" width="15.42578125" style="220" customWidth="1"/>
    <col min="15593" max="15593" width="20.28515625" style="220" bestFit="1" customWidth="1"/>
    <col min="15594" max="15596" width="20.28515625" style="220" customWidth="1"/>
    <col min="15597" max="15597" width="20.28515625" style="220" bestFit="1" customWidth="1"/>
    <col min="15598" max="15598" width="15.42578125" style="220" customWidth="1"/>
    <col min="15599" max="15599" width="20.7109375" style="220" bestFit="1" customWidth="1"/>
    <col min="15600" max="15602" width="20.7109375" style="220" customWidth="1"/>
    <col min="15603" max="15603" width="20.7109375" style="220" bestFit="1" customWidth="1"/>
    <col min="15604" max="15604" width="12.140625" style="220" customWidth="1"/>
    <col min="15605" max="15833" width="8.7109375" style="220" customWidth="1"/>
    <col min="15834" max="15834" width="7.28515625" style="220" customWidth="1"/>
    <col min="15835" max="15835" width="18.28515625" style="220" customWidth="1"/>
    <col min="15836" max="15836" width="23.42578125" style="220" bestFit="1" customWidth="1"/>
    <col min="15837" max="15838" width="10.140625" style="220" bestFit="1" customWidth="1"/>
    <col min="15839" max="15841" width="10.140625" style="220" customWidth="1"/>
    <col min="15842" max="15842" width="16.28515625" style="220" customWidth="1"/>
    <col min="15843" max="15843" width="20.28515625" style="220" bestFit="1" customWidth="1"/>
    <col min="15844" max="15846" width="20.28515625" style="220" customWidth="1"/>
    <col min="15847" max="15847" width="20.28515625" style="220" bestFit="1" customWidth="1"/>
    <col min="15848" max="15848" width="15.42578125" style="220" customWidth="1"/>
    <col min="15849" max="15849" width="20.28515625" style="220" bestFit="1" customWidth="1"/>
    <col min="15850" max="15852" width="20.28515625" style="220" customWidth="1"/>
    <col min="15853" max="15853" width="20.28515625" style="220" bestFit="1" customWidth="1"/>
    <col min="15854" max="15854" width="15.42578125" style="220" customWidth="1"/>
    <col min="15855" max="15855" width="20.7109375" style="220" bestFit="1" customWidth="1"/>
    <col min="15856" max="15858" width="20.7109375" style="220" customWidth="1"/>
    <col min="15859" max="15859" width="20.7109375" style="220" bestFit="1" customWidth="1"/>
    <col min="15860" max="15860" width="12.140625" style="220" customWidth="1"/>
    <col min="15861" max="16089" width="8.7109375" style="220" customWidth="1"/>
    <col min="16090" max="16090" width="7.28515625" style="220" customWidth="1"/>
    <col min="16091" max="16091" width="18.28515625" style="220" customWidth="1"/>
    <col min="16092" max="16092" width="23.42578125" style="220" bestFit="1" customWidth="1"/>
    <col min="16093" max="16094" width="10.140625" style="220" bestFit="1" customWidth="1"/>
    <col min="16095" max="16097" width="10.140625" style="220" customWidth="1"/>
    <col min="16098" max="16098" width="16.28515625" style="220" customWidth="1"/>
    <col min="16099" max="16099" width="20.28515625" style="220" bestFit="1" customWidth="1"/>
    <col min="16100" max="16102" width="20.28515625" style="220" customWidth="1"/>
    <col min="16103" max="16103" width="20.28515625" style="220" bestFit="1" customWidth="1"/>
    <col min="16104" max="16104" width="15.42578125" style="220" customWidth="1"/>
    <col min="16105" max="16105" width="20.28515625" style="220" bestFit="1" customWidth="1"/>
    <col min="16106" max="16108" width="20.28515625" style="220" customWidth="1"/>
    <col min="16109" max="16109" width="20.28515625" style="220" bestFit="1" customWidth="1"/>
    <col min="16110" max="16110" width="15.42578125" style="220" customWidth="1"/>
    <col min="16111" max="16111" width="20.7109375" style="220" bestFit="1" customWidth="1"/>
    <col min="16112" max="16114" width="20.7109375" style="220" customWidth="1"/>
    <col min="16115" max="16115" width="20.7109375" style="220" bestFit="1" customWidth="1"/>
    <col min="16116" max="16116" width="12.140625" style="220" customWidth="1"/>
    <col min="16117" max="16384" width="8.7109375" style="220" customWidth="1"/>
  </cols>
  <sheetData>
    <row r="1" spans="1:17" s="194" customFormat="1"/>
    <row r="2" spans="1:17" s="194" customFormat="1" ht="13.5" thickBot="1"/>
    <row r="3" spans="1:17" s="194" customFormat="1" ht="13.5" thickBot="1">
      <c r="A3" s="338" t="s">
        <v>115</v>
      </c>
      <c r="B3" s="347" t="s">
        <v>116</v>
      </c>
      <c r="C3" s="342" t="s">
        <v>178</v>
      </c>
      <c r="D3" s="388" t="s">
        <v>343</v>
      </c>
      <c r="E3" s="389"/>
      <c r="F3" s="390"/>
      <c r="G3" s="391" t="s">
        <v>344</v>
      </c>
      <c r="H3" s="385"/>
      <c r="I3" s="385"/>
      <c r="J3" s="385"/>
      <c r="K3" s="391" t="s">
        <v>345</v>
      </c>
      <c r="L3" s="385"/>
      <c r="M3" s="386"/>
      <c r="N3" s="333" t="s">
        <v>346</v>
      </c>
      <c r="O3" s="333"/>
      <c r="P3" s="333"/>
      <c r="Q3" s="334"/>
    </row>
    <row r="4" spans="1:17" s="194" customFormat="1" ht="46.5" customHeight="1" thickBot="1">
      <c r="A4" s="339"/>
      <c r="B4" s="348"/>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353</v>
      </c>
      <c r="C5" s="200"/>
      <c r="D5" s="201"/>
      <c r="E5" s="202"/>
      <c r="F5" s="202"/>
      <c r="G5" s="202"/>
      <c r="H5" s="203"/>
      <c r="I5" s="204"/>
      <c r="J5" s="200"/>
      <c r="K5" s="205"/>
      <c r="L5" s="206"/>
      <c r="M5" s="206"/>
      <c r="N5" s="206"/>
      <c r="O5" s="206"/>
      <c r="P5" s="206"/>
      <c r="Q5" s="206"/>
    </row>
    <row r="6" spans="1:17" s="194" customFormat="1">
      <c r="A6" s="198">
        <v>2</v>
      </c>
      <c r="B6" s="199" t="s">
        <v>354</v>
      </c>
      <c r="C6" s="200"/>
      <c r="D6" s="201"/>
      <c r="E6" s="202"/>
      <c r="F6" s="202"/>
      <c r="G6" s="202"/>
      <c r="H6" s="203"/>
      <c r="I6" s="204"/>
      <c r="J6" s="200"/>
      <c r="K6" s="205"/>
      <c r="L6" s="206"/>
      <c r="M6" s="206"/>
      <c r="N6" s="206"/>
      <c r="O6" s="206"/>
      <c r="P6" s="206"/>
      <c r="Q6" s="206"/>
    </row>
    <row r="7" spans="1:17" s="194" customFormat="1">
      <c r="A7" s="198">
        <v>3</v>
      </c>
      <c r="B7" s="294" t="s">
        <v>355</v>
      </c>
      <c r="C7" s="200"/>
      <c r="D7" s="201"/>
      <c r="E7" s="202"/>
      <c r="F7" s="202"/>
      <c r="G7" s="202"/>
      <c r="H7" s="203"/>
      <c r="I7" s="204"/>
      <c r="J7" s="200"/>
      <c r="K7" s="205"/>
      <c r="L7" s="206"/>
      <c r="M7" s="206"/>
      <c r="N7" s="206"/>
      <c r="O7" s="206"/>
      <c r="P7" s="206"/>
      <c r="Q7" s="206"/>
    </row>
    <row r="8" spans="1:17" s="219" customFormat="1" ht="15" customHeight="1" thickBot="1">
      <c r="A8" s="344" t="s">
        <v>5</v>
      </c>
      <c r="B8" s="345"/>
      <c r="C8" s="346"/>
      <c r="D8" s="261"/>
      <c r="E8" s="262"/>
      <c r="F8" s="262"/>
      <c r="G8" s="262"/>
      <c r="H8" s="263"/>
      <c r="I8" s="264"/>
      <c r="J8" s="265"/>
      <c r="K8" s="266"/>
      <c r="L8" s="267"/>
      <c r="M8" s="267"/>
      <c r="N8" s="267"/>
      <c r="O8" s="268"/>
      <c r="P8" s="268"/>
      <c r="Q8" s="268"/>
    </row>
  </sheetData>
  <mergeCells count="8">
    <mergeCell ref="N3:Q3"/>
    <mergeCell ref="A8:C8"/>
    <mergeCell ref="A3:A4"/>
    <mergeCell ref="B3:B4"/>
    <mergeCell ref="C3:C4"/>
    <mergeCell ref="D3:F3"/>
    <mergeCell ref="G3:J3"/>
    <mergeCell ref="K3:M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75"/>
  <sheetViews>
    <sheetView showGridLines="0" topLeftCell="A82" workbookViewId="0">
      <selection activeCell="H167" sqref="H167"/>
    </sheetView>
  </sheetViews>
  <sheetFormatPr defaultColWidth="8.7109375" defaultRowHeight="14.25"/>
  <cols>
    <col min="1" max="1" width="8.7109375" style="1"/>
    <col min="2" max="2" width="36" style="1" bestFit="1" customWidth="1"/>
    <col min="3" max="3" width="18.140625" style="1" customWidth="1"/>
    <col min="4" max="7" width="19.7109375" style="1" bestFit="1" customWidth="1"/>
    <col min="8" max="8" width="21" style="1" bestFit="1" customWidth="1"/>
    <col min="9" max="9" width="12.28515625" style="1" bestFit="1" customWidth="1"/>
    <col min="10" max="10" width="20.7109375" style="1" customWidth="1"/>
    <col min="11" max="11" width="21" style="1" customWidth="1"/>
    <col min="12" max="12" width="9" style="1" bestFit="1" customWidth="1"/>
    <col min="13" max="13" width="10.42578125" style="1" bestFit="1" customWidth="1"/>
    <col min="14" max="14" width="10.42578125" style="1" customWidth="1"/>
    <col min="15" max="16384" width="8.7109375" style="1"/>
  </cols>
  <sheetData>
    <row r="1" spans="2:11" ht="18">
      <c r="D1" s="2"/>
      <c r="E1" s="2"/>
    </row>
    <row r="2" spans="2:11" ht="18">
      <c r="D2" s="3" t="s">
        <v>85</v>
      </c>
      <c r="E2" s="3"/>
      <c r="F2" s="2"/>
    </row>
    <row r="3" spans="2:11" ht="15">
      <c r="F3" s="4">
        <f>1-E5/F5</f>
        <v>0.23529411764705888</v>
      </c>
      <c r="J3" s="296"/>
      <c r="K3" s="296"/>
    </row>
    <row r="4" spans="2:11" ht="15">
      <c r="C4" s="5" t="s">
        <v>0</v>
      </c>
      <c r="D4" s="6" t="s">
        <v>1</v>
      </c>
      <c r="E4" s="6" t="s">
        <v>2</v>
      </c>
      <c r="F4" s="6" t="s">
        <v>3</v>
      </c>
      <c r="G4" s="6" t="s">
        <v>4</v>
      </c>
      <c r="H4" s="7" t="s">
        <v>5</v>
      </c>
      <c r="J4" s="112"/>
      <c r="K4" s="112"/>
    </row>
    <row r="5" spans="2:11" ht="15">
      <c r="B5" s="8" t="s">
        <v>6</v>
      </c>
      <c r="C5" s="9">
        <v>1858301</v>
      </c>
      <c r="D5" s="9">
        <f>C5*1.05</f>
        <v>1951216.05</v>
      </c>
      <c r="E5" s="9">
        <v>1794000</v>
      </c>
      <c r="F5" s="9">
        <v>2346000</v>
      </c>
      <c r="G5" s="9">
        <v>1974000</v>
      </c>
      <c r="H5" s="10">
        <f>SUM(C5:G5)</f>
        <v>9923517.0500000007</v>
      </c>
      <c r="J5" s="113"/>
      <c r="K5" s="113"/>
    </row>
    <row r="6" spans="2:11" ht="15">
      <c r="B6" s="8" t="s">
        <v>7</v>
      </c>
      <c r="C6" s="12">
        <v>235318</v>
      </c>
      <c r="D6" s="12">
        <v>222430</v>
      </c>
      <c r="E6" s="12">
        <v>240000</v>
      </c>
      <c r="F6" s="12">
        <v>249600</v>
      </c>
      <c r="G6" s="12">
        <v>270500</v>
      </c>
      <c r="H6" s="10">
        <f t="shared" ref="H6:H29" si="0">SUM(C6:G6)</f>
        <v>1217848</v>
      </c>
      <c r="J6" s="113"/>
      <c r="K6" s="113"/>
    </row>
    <row r="7" spans="2:11" ht="15">
      <c r="B7" s="8" t="s">
        <v>8</v>
      </c>
      <c r="C7" s="9">
        <v>32558</v>
      </c>
      <c r="D7" s="9">
        <v>33500</v>
      </c>
      <c r="E7" s="9">
        <v>34000</v>
      </c>
      <c r="F7" s="9">
        <v>35000</v>
      </c>
      <c r="G7" s="9">
        <v>36900</v>
      </c>
      <c r="H7" s="10">
        <f t="shared" si="0"/>
        <v>171958</v>
      </c>
      <c r="J7" s="113"/>
      <c r="K7" s="113"/>
    </row>
    <row r="8" spans="2:11" ht="15">
      <c r="B8" s="8" t="s">
        <v>9</v>
      </c>
      <c r="C8" s="9">
        <v>20710</v>
      </c>
      <c r="D8" s="9">
        <v>20580</v>
      </c>
      <c r="E8" s="9">
        <v>17088</v>
      </c>
      <c r="F8" s="9">
        <v>17100</v>
      </c>
      <c r="G8" s="9">
        <v>13400</v>
      </c>
      <c r="H8" s="10">
        <f t="shared" si="0"/>
        <v>88878</v>
      </c>
      <c r="J8" s="113"/>
      <c r="K8" s="113"/>
    </row>
    <row r="9" spans="2:11" ht="15">
      <c r="B9" s="8" t="s">
        <v>10</v>
      </c>
      <c r="C9" s="9">
        <v>383162</v>
      </c>
      <c r="D9" s="9">
        <v>357305</v>
      </c>
      <c r="E9" s="9">
        <v>331410</v>
      </c>
      <c r="F9" s="9">
        <v>402000</v>
      </c>
      <c r="G9" s="9">
        <v>340800</v>
      </c>
      <c r="H9" s="10">
        <f t="shared" si="0"/>
        <v>1814677</v>
      </c>
      <c r="J9" s="113"/>
      <c r="K9" s="113"/>
    </row>
    <row r="10" spans="2:11" ht="15.75">
      <c r="B10" s="8" t="s">
        <v>11</v>
      </c>
      <c r="C10" s="12">
        <v>440129</v>
      </c>
      <c r="D10" s="12">
        <v>402317</v>
      </c>
      <c r="E10" s="12">
        <v>404384</v>
      </c>
      <c r="F10" s="12">
        <v>432700</v>
      </c>
      <c r="G10" s="12">
        <v>482200</v>
      </c>
      <c r="H10" s="10">
        <f t="shared" si="0"/>
        <v>2161730</v>
      </c>
      <c r="J10" s="113"/>
      <c r="K10" s="113"/>
    </row>
    <row r="11" spans="2:11" ht="15">
      <c r="B11" s="8" t="s">
        <v>12</v>
      </c>
      <c r="C11" s="9">
        <v>277390</v>
      </c>
      <c r="D11" s="9">
        <v>253384</v>
      </c>
      <c r="E11" s="9">
        <v>251616</v>
      </c>
      <c r="F11" s="9">
        <v>274300</v>
      </c>
      <c r="G11" s="9">
        <v>343300</v>
      </c>
      <c r="H11" s="10">
        <f t="shared" si="0"/>
        <v>1399990</v>
      </c>
      <c r="J11" s="113"/>
      <c r="K11" s="113"/>
    </row>
    <row r="12" spans="2:11" ht="15">
      <c r="B12" s="8" t="s">
        <v>13</v>
      </c>
      <c r="C12" s="9">
        <v>7928552</v>
      </c>
      <c r="D12" s="9">
        <v>8102540</v>
      </c>
      <c r="E12" s="9">
        <v>9100000</v>
      </c>
      <c r="F12" s="9">
        <v>10920000</v>
      </c>
      <c r="G12" s="9">
        <f>14485000</f>
        <v>14485000</v>
      </c>
      <c r="H12" s="10">
        <f t="shared" si="0"/>
        <v>50536092</v>
      </c>
      <c r="J12" s="113"/>
      <c r="K12" s="113"/>
    </row>
    <row r="13" spans="2:11" ht="15">
      <c r="B13" s="8" t="s">
        <v>14</v>
      </c>
      <c r="C13" s="9">
        <v>1567185</v>
      </c>
      <c r="D13" s="9">
        <v>1680000</v>
      </c>
      <c r="E13" s="9">
        <v>1601996</v>
      </c>
      <c r="F13" s="9">
        <v>1800000</v>
      </c>
      <c r="G13" s="9">
        <v>2436000</v>
      </c>
      <c r="H13" s="10">
        <f t="shared" si="0"/>
        <v>9085181</v>
      </c>
      <c r="J13" s="113"/>
      <c r="K13" s="113"/>
    </row>
    <row r="14" spans="2:11" ht="15">
      <c r="B14" s="8" t="s">
        <v>15</v>
      </c>
      <c r="C14" s="12">
        <v>48930</v>
      </c>
      <c r="D14" s="12">
        <f>C14*1.05</f>
        <v>51376.5</v>
      </c>
      <c r="E14" s="12">
        <f t="shared" ref="E14" si="1">D14*1.05</f>
        <v>53945.325000000004</v>
      </c>
      <c r="F14" s="12">
        <v>78400</v>
      </c>
      <c r="G14" s="12">
        <v>111700</v>
      </c>
      <c r="H14" s="10">
        <f t="shared" si="0"/>
        <v>344351.82500000001</v>
      </c>
      <c r="J14" s="113"/>
      <c r="K14" s="113"/>
    </row>
    <row r="15" spans="2:11" ht="15">
      <c r="B15" s="8" t="s">
        <v>16</v>
      </c>
      <c r="C15" s="9">
        <v>54010</v>
      </c>
      <c r="D15" s="9">
        <v>33540</v>
      </c>
      <c r="E15" s="9">
        <v>35430</v>
      </c>
      <c r="F15" s="9">
        <v>42710</v>
      </c>
      <c r="G15" s="9">
        <v>48500</v>
      </c>
      <c r="H15" s="10">
        <f t="shared" si="0"/>
        <v>214190</v>
      </c>
      <c r="J15" s="113"/>
      <c r="K15" s="113"/>
    </row>
    <row r="16" spans="2:11" ht="15">
      <c r="B16" s="8" t="s">
        <v>17</v>
      </c>
      <c r="C16" s="9">
        <v>110891</v>
      </c>
      <c r="D16" s="9">
        <v>8250</v>
      </c>
      <c r="E16" s="9">
        <v>9000</v>
      </c>
      <c r="F16" s="9">
        <v>11250</v>
      </c>
      <c r="G16" s="9">
        <v>15600</v>
      </c>
      <c r="H16" s="10">
        <f t="shared" si="0"/>
        <v>154991</v>
      </c>
      <c r="J16" s="113"/>
      <c r="K16" s="113"/>
    </row>
    <row r="17" spans="2:11" ht="15">
      <c r="B17" s="8" t="s">
        <v>18</v>
      </c>
      <c r="C17" s="9">
        <v>300000</v>
      </c>
      <c r="D17" s="9">
        <v>360000</v>
      </c>
      <c r="E17" s="9">
        <v>424000</v>
      </c>
      <c r="F17" s="9">
        <v>550100</v>
      </c>
      <c r="G17" s="9">
        <v>544000</v>
      </c>
      <c r="H17" s="10">
        <f t="shared" si="0"/>
        <v>2178100</v>
      </c>
      <c r="J17" s="113"/>
      <c r="K17" s="113"/>
    </row>
    <row r="18" spans="2:11" ht="15">
      <c r="B18" s="8" t="s">
        <v>19</v>
      </c>
      <c r="C18" s="12">
        <v>100000</v>
      </c>
      <c r="D18" s="12">
        <v>125500</v>
      </c>
      <c r="E18" s="12">
        <f>D18*1.05</f>
        <v>131775</v>
      </c>
      <c r="F18" s="12">
        <f t="shared" ref="F18:G18" si="2">E18*1.05</f>
        <v>138363.75</v>
      </c>
      <c r="G18" s="12">
        <f t="shared" si="2"/>
        <v>145281.9375</v>
      </c>
      <c r="H18" s="10">
        <f t="shared" si="0"/>
        <v>640920.6875</v>
      </c>
      <c r="J18" s="113"/>
      <c r="K18" s="113"/>
    </row>
    <row r="19" spans="2:11" ht="15">
      <c r="B19" s="8" t="s">
        <v>20</v>
      </c>
      <c r="C19" s="9">
        <v>900000</v>
      </c>
      <c r="D19" s="9">
        <v>1163864</v>
      </c>
      <c r="E19" s="9">
        <v>1280000</v>
      </c>
      <c r="F19" s="9">
        <v>1873079</v>
      </c>
      <c r="G19" s="9">
        <v>1748000</v>
      </c>
      <c r="H19" s="10">
        <f t="shared" si="0"/>
        <v>6964943</v>
      </c>
      <c r="J19" s="113"/>
      <c r="K19" s="113"/>
    </row>
    <row r="20" spans="2:11" ht="15">
      <c r="B20" s="8" t="s">
        <v>21</v>
      </c>
      <c r="C20" s="9"/>
      <c r="D20" s="9"/>
      <c r="E20" s="9"/>
      <c r="F20" s="9"/>
      <c r="G20" s="9">
        <v>7500</v>
      </c>
      <c r="H20" s="10"/>
      <c r="J20" s="113"/>
      <c r="K20" s="113"/>
    </row>
    <row r="21" spans="2:11" ht="15">
      <c r="B21" s="8" t="s">
        <v>22</v>
      </c>
      <c r="C21" s="9"/>
      <c r="D21" s="9"/>
      <c r="E21" s="9"/>
      <c r="F21" s="9"/>
      <c r="G21" s="9">
        <v>32100</v>
      </c>
      <c r="H21" s="10"/>
      <c r="J21" s="113"/>
      <c r="K21" s="113"/>
    </row>
    <row r="22" spans="2:11" ht="15">
      <c r="B22" s="8" t="s">
        <v>23</v>
      </c>
      <c r="C22" s="9">
        <v>97000</v>
      </c>
      <c r="D22" s="9">
        <v>49174</v>
      </c>
      <c r="E22" s="9">
        <v>41601</v>
      </c>
      <c r="F22" s="9">
        <v>52143</v>
      </c>
      <c r="G22" s="9">
        <v>60000</v>
      </c>
      <c r="H22" s="10">
        <f t="shared" si="0"/>
        <v>299918</v>
      </c>
      <c r="J22" s="113"/>
      <c r="K22" s="113"/>
    </row>
    <row r="23" spans="2:11" ht="15.75">
      <c r="B23" s="8" t="s">
        <v>24</v>
      </c>
      <c r="C23" s="9">
        <v>0</v>
      </c>
      <c r="D23" s="9">
        <v>0</v>
      </c>
      <c r="E23" s="9">
        <v>12662</v>
      </c>
      <c r="F23" s="9">
        <v>570</v>
      </c>
      <c r="G23" s="9">
        <v>6000</v>
      </c>
      <c r="H23" s="10">
        <f t="shared" si="0"/>
        <v>19232</v>
      </c>
      <c r="J23" s="113"/>
      <c r="K23" s="113"/>
    </row>
    <row r="24" spans="2:11" ht="15">
      <c r="B24" s="8" t="s">
        <v>25</v>
      </c>
      <c r="C24" s="12">
        <v>63080</v>
      </c>
      <c r="D24" s="12">
        <v>81240</v>
      </c>
      <c r="E24" s="12">
        <v>104372</v>
      </c>
      <c r="F24" s="12">
        <f>69215+69873</f>
        <v>139088</v>
      </c>
      <c r="G24" s="12">
        <v>140000</v>
      </c>
      <c r="H24" s="10">
        <f t="shared" si="0"/>
        <v>527780</v>
      </c>
      <c r="J24" s="113"/>
      <c r="K24" s="113"/>
    </row>
    <row r="25" spans="2:11" ht="15">
      <c r="B25" s="8" t="s">
        <v>26</v>
      </c>
      <c r="C25" s="9">
        <v>91210</v>
      </c>
      <c r="D25" s="9">
        <v>81756</v>
      </c>
      <c r="E25" s="9">
        <v>92995</v>
      </c>
      <c r="F25" s="9">
        <v>94822</v>
      </c>
      <c r="G25" s="9">
        <v>96900</v>
      </c>
      <c r="H25" s="10">
        <f t="shared" si="0"/>
        <v>457683</v>
      </c>
      <c r="J25" s="113"/>
      <c r="K25" s="113"/>
    </row>
    <row r="26" spans="2:11" ht="15">
      <c r="B26" s="8" t="s">
        <v>27</v>
      </c>
      <c r="C26" s="9">
        <v>53000</v>
      </c>
      <c r="D26" s="9">
        <v>55000</v>
      </c>
      <c r="E26" s="9">
        <v>65000</v>
      </c>
      <c r="F26" s="9">
        <v>67600</v>
      </c>
      <c r="G26" s="9">
        <v>69972</v>
      </c>
      <c r="H26" s="10">
        <f t="shared" si="0"/>
        <v>310572</v>
      </c>
      <c r="J26" s="113"/>
      <c r="K26" s="113"/>
    </row>
    <row r="27" spans="2:11" ht="15">
      <c r="B27" s="8" t="s">
        <v>28</v>
      </c>
      <c r="C27" s="9">
        <v>214267</v>
      </c>
      <c r="D27" s="9">
        <v>235700</v>
      </c>
      <c r="E27" s="9">
        <v>246500</v>
      </c>
      <c r="F27" s="9">
        <v>294600</v>
      </c>
      <c r="G27" s="9">
        <v>329600</v>
      </c>
      <c r="H27" s="10">
        <f t="shared" si="0"/>
        <v>1320667</v>
      </c>
      <c r="J27" s="113"/>
      <c r="K27" s="113"/>
    </row>
    <row r="28" spans="2:11" ht="15">
      <c r="B28" s="8" t="s">
        <v>29</v>
      </c>
      <c r="C28" s="12">
        <v>575000</v>
      </c>
      <c r="D28" s="12">
        <v>670000</v>
      </c>
      <c r="E28" s="12">
        <v>517000</v>
      </c>
      <c r="F28" s="12">
        <v>643700</v>
      </c>
      <c r="G28" s="12">
        <v>495000</v>
      </c>
      <c r="H28" s="10">
        <f t="shared" si="0"/>
        <v>2900700</v>
      </c>
      <c r="J28" s="113"/>
      <c r="K28" s="113"/>
    </row>
    <row r="29" spans="2:11" ht="15">
      <c r="B29" s="8" t="s">
        <v>30</v>
      </c>
      <c r="C29" s="9">
        <v>3619509</v>
      </c>
      <c r="D29" s="9">
        <v>3084487</v>
      </c>
      <c r="E29" s="9">
        <v>2761505</v>
      </c>
      <c r="F29" s="9">
        <v>2900397</v>
      </c>
      <c r="G29" s="9">
        <v>3138880</v>
      </c>
      <c r="H29" s="10">
        <f t="shared" si="0"/>
        <v>15504778</v>
      </c>
      <c r="J29" s="113"/>
      <c r="K29" s="113"/>
    </row>
    <row r="30" spans="2:11">
      <c r="B30" s="13" t="s">
        <v>31</v>
      </c>
      <c r="C30" s="14">
        <f>SUM(C5:C29)</f>
        <v>18970202</v>
      </c>
      <c r="D30" s="14">
        <f t="shared" ref="D30:G30" si="3">SUM(D5:D29)</f>
        <v>19023159.550000001</v>
      </c>
      <c r="E30" s="14">
        <f t="shared" si="3"/>
        <v>19550279.324999999</v>
      </c>
      <c r="F30" s="14">
        <f t="shared" si="3"/>
        <v>23363522.75</v>
      </c>
      <c r="G30" s="14">
        <f t="shared" si="3"/>
        <v>27371133.9375</v>
      </c>
      <c r="H30" s="14">
        <f>SUM(H5:H29)</f>
        <v>108238697.5625</v>
      </c>
      <c r="J30" s="79"/>
      <c r="K30" s="79"/>
    </row>
    <row r="31" spans="2:11" ht="15">
      <c r="B31" s="15"/>
      <c r="C31" s="16">
        <f>1-+C30/G30</f>
        <v>0.30692670448666537</v>
      </c>
      <c r="D31" s="17">
        <f>1-+C30/D30</f>
        <v>2.7838461776451551E-3</v>
      </c>
      <c r="E31" s="17">
        <f t="shared" ref="E31:G31" si="4">1-+D30/E30</f>
        <v>2.6962263108227913E-2</v>
      </c>
      <c r="F31" s="17">
        <f t="shared" si="4"/>
        <v>0.16321354728066428</v>
      </c>
      <c r="G31" s="17">
        <f t="shared" si="4"/>
        <v>0.14641743366026005</v>
      </c>
      <c r="H31" s="18"/>
      <c r="J31" s="114"/>
      <c r="K31" s="114"/>
    </row>
    <row r="32" spans="2:11">
      <c r="B32" s="15"/>
      <c r="C32" s="15"/>
      <c r="D32" s="15"/>
      <c r="E32" s="15"/>
      <c r="F32" s="15"/>
      <c r="G32" s="15"/>
      <c r="H32" s="18"/>
      <c r="J32" s="88"/>
      <c r="K32" s="88"/>
    </row>
    <row r="33" spans="2:11" ht="15">
      <c r="B33" s="8" t="s">
        <v>32</v>
      </c>
      <c r="C33" s="12">
        <v>12303.099999999999</v>
      </c>
      <c r="D33" s="12">
        <v>15476.5</v>
      </c>
      <c r="E33" s="12">
        <v>15443.805</v>
      </c>
      <c r="F33" s="12">
        <v>13883.6</v>
      </c>
      <c r="G33" s="12">
        <v>14866.484</v>
      </c>
      <c r="H33" s="10">
        <f>SUM(C33:G33)</f>
        <v>71973.489000000001</v>
      </c>
      <c r="J33" s="88"/>
      <c r="K33" s="88"/>
    </row>
    <row r="34" spans="2:11" ht="15">
      <c r="B34" s="8" t="s">
        <v>33</v>
      </c>
      <c r="C34" s="12">
        <v>2165.7590000000005</v>
      </c>
      <c r="D34" s="12">
        <v>2436.5999999999995</v>
      </c>
      <c r="E34" s="12">
        <v>2418.86</v>
      </c>
      <c r="F34" s="12">
        <v>2476.1999999999998</v>
      </c>
      <c r="G34" s="12">
        <v>2877.4149999999995</v>
      </c>
      <c r="H34" s="10">
        <f t="shared" ref="H34:H36" si="5">SUM(C34:G34)</f>
        <v>12374.834000000001</v>
      </c>
      <c r="J34" s="88"/>
      <c r="K34" s="88"/>
    </row>
    <row r="35" spans="2:11" ht="15">
      <c r="B35" s="8" t="s">
        <v>34</v>
      </c>
      <c r="C35" s="12">
        <v>1751.09</v>
      </c>
      <c r="D35" s="12">
        <v>2166.2000000000003</v>
      </c>
      <c r="E35" s="12">
        <v>2411.8141999999998</v>
      </c>
      <c r="F35" s="12">
        <v>2307.1999999999998</v>
      </c>
      <c r="G35" s="12">
        <v>2766.2370000000001</v>
      </c>
      <c r="H35" s="10">
        <f t="shared" si="5"/>
        <v>11402.5412</v>
      </c>
      <c r="J35" s="88"/>
      <c r="K35" s="88"/>
    </row>
    <row r="36" spans="2:11" ht="15">
      <c r="B36" s="8" t="s">
        <v>35</v>
      </c>
      <c r="C36" s="12">
        <v>75161.23000000001</v>
      </c>
      <c r="D36" s="12">
        <v>75769.3</v>
      </c>
      <c r="E36" s="12">
        <v>88957.636999999988</v>
      </c>
      <c r="F36" s="12">
        <v>97981.7</v>
      </c>
      <c r="G36" s="12">
        <v>108087.88399999998</v>
      </c>
      <c r="H36" s="10">
        <f t="shared" si="5"/>
        <v>445957.75099999999</v>
      </c>
      <c r="J36" s="88"/>
      <c r="K36" s="88"/>
    </row>
    <row r="37" spans="2:11">
      <c r="B37" s="13" t="s">
        <v>36</v>
      </c>
      <c r="C37" s="20">
        <f>SUM(C33:C36)</f>
        <v>91381.179000000004</v>
      </c>
      <c r="D37" s="20">
        <f t="shared" ref="D37:G37" si="6">SUM(D33:D36)</f>
        <v>95848.6</v>
      </c>
      <c r="E37" s="20">
        <f t="shared" si="6"/>
        <v>109232.11619999999</v>
      </c>
      <c r="F37" s="20">
        <f t="shared" si="6"/>
        <v>116648.7</v>
      </c>
      <c r="G37" s="20">
        <f t="shared" si="6"/>
        <v>128598.01999999997</v>
      </c>
      <c r="H37" s="14">
        <f>SUM(H33:H36)</f>
        <v>541708.6152</v>
      </c>
      <c r="J37" s="88"/>
      <c r="K37" s="88"/>
    </row>
    <row r="38" spans="2:11">
      <c r="B38" s="15"/>
      <c r="C38" s="21"/>
      <c r="D38" s="21"/>
      <c r="E38" s="21"/>
      <c r="F38" s="21"/>
      <c r="G38" s="21"/>
      <c r="H38" s="18"/>
      <c r="J38" s="88"/>
      <c r="K38" s="88"/>
    </row>
    <row r="39" spans="2:11">
      <c r="B39" s="15"/>
      <c r="C39" s="21"/>
      <c r="D39" s="21"/>
      <c r="E39" s="21"/>
      <c r="F39" s="21"/>
      <c r="G39" s="21"/>
      <c r="H39" s="18"/>
      <c r="J39" s="88"/>
      <c r="K39" s="88"/>
    </row>
    <row r="40" spans="2:11" ht="15">
      <c r="C40" s="5" t="s">
        <v>0</v>
      </c>
      <c r="D40" s="6" t="s">
        <v>1</v>
      </c>
      <c r="E40" s="6" t="s">
        <v>2</v>
      </c>
      <c r="F40" s="6" t="s">
        <v>3</v>
      </c>
      <c r="G40" s="6" t="s">
        <v>4</v>
      </c>
      <c r="H40" s="7" t="s">
        <v>5</v>
      </c>
    </row>
    <row r="41" spans="2:11" ht="15">
      <c r="B41" s="8" t="s">
        <v>10</v>
      </c>
      <c r="C41" s="22">
        <f>+C9</f>
        <v>383162</v>
      </c>
      <c r="D41" s="22">
        <f t="shared" ref="D41:G41" si="7">+D9</f>
        <v>357305</v>
      </c>
      <c r="E41" s="22">
        <f t="shared" si="7"/>
        <v>331410</v>
      </c>
      <c r="F41" s="22">
        <f t="shared" si="7"/>
        <v>402000</v>
      </c>
      <c r="G41" s="22">
        <f t="shared" si="7"/>
        <v>340800</v>
      </c>
      <c r="H41" s="23">
        <f>SUM(D41:G41)</f>
        <v>1431515</v>
      </c>
    </row>
    <row r="42" spans="2:11" ht="15">
      <c r="B42" s="8" t="s">
        <v>6</v>
      </c>
      <c r="C42" s="12">
        <f>+C5</f>
        <v>1858301</v>
      </c>
      <c r="D42" s="12">
        <f t="shared" ref="D42:G42" si="8">+D5</f>
        <v>1951216.05</v>
      </c>
      <c r="E42" s="12">
        <f t="shared" si="8"/>
        <v>1794000</v>
      </c>
      <c r="F42" s="12">
        <f t="shared" si="8"/>
        <v>2346000</v>
      </c>
      <c r="G42" s="12">
        <f t="shared" si="8"/>
        <v>1974000</v>
      </c>
      <c r="H42" s="23">
        <f t="shared" ref="H42:H46" si="9">SUM(D42:G42)</f>
        <v>8065216.0499999998</v>
      </c>
    </row>
    <row r="43" spans="2:11" ht="15">
      <c r="B43" s="8" t="s">
        <v>37</v>
      </c>
      <c r="C43" s="22">
        <f>+C10</f>
        <v>440129</v>
      </c>
      <c r="D43" s="22">
        <f t="shared" ref="D43:G43" si="10">+D10</f>
        <v>402317</v>
      </c>
      <c r="E43" s="22">
        <f t="shared" si="10"/>
        <v>404384</v>
      </c>
      <c r="F43" s="22">
        <f t="shared" si="10"/>
        <v>432700</v>
      </c>
      <c r="G43" s="22">
        <f t="shared" si="10"/>
        <v>482200</v>
      </c>
      <c r="H43" s="23">
        <f t="shared" si="9"/>
        <v>1721601</v>
      </c>
    </row>
    <row r="44" spans="2:11" ht="15">
      <c r="B44" s="8" t="s">
        <v>16</v>
      </c>
      <c r="C44" s="22">
        <f>+C15</f>
        <v>54010</v>
      </c>
      <c r="D44" s="22">
        <f t="shared" ref="D44:G44" si="11">+D15</f>
        <v>33540</v>
      </c>
      <c r="E44" s="22">
        <f t="shared" si="11"/>
        <v>35430</v>
      </c>
      <c r="F44" s="22">
        <f t="shared" si="11"/>
        <v>42710</v>
      </c>
      <c r="G44" s="22">
        <f t="shared" si="11"/>
        <v>48500</v>
      </c>
      <c r="H44" s="23">
        <f t="shared" si="9"/>
        <v>160180</v>
      </c>
    </row>
    <row r="45" spans="2:11" ht="15">
      <c r="B45" s="8" t="s">
        <v>15</v>
      </c>
      <c r="C45" s="24">
        <f>+C14</f>
        <v>48930</v>
      </c>
      <c r="D45" s="24">
        <f t="shared" ref="D45:G45" si="12">+D14</f>
        <v>51376.5</v>
      </c>
      <c r="E45" s="24">
        <f t="shared" si="12"/>
        <v>53945.325000000004</v>
      </c>
      <c r="F45" s="24">
        <f t="shared" si="12"/>
        <v>78400</v>
      </c>
      <c r="G45" s="24">
        <f t="shared" si="12"/>
        <v>111700</v>
      </c>
      <c r="H45" s="23">
        <f t="shared" si="9"/>
        <v>295421.82500000001</v>
      </c>
    </row>
    <row r="46" spans="2:11" ht="15">
      <c r="B46" s="8" t="s">
        <v>17</v>
      </c>
      <c r="C46" s="24">
        <f>+C16</f>
        <v>110891</v>
      </c>
      <c r="D46" s="24">
        <f t="shared" ref="D46:G46" si="13">+D16</f>
        <v>8250</v>
      </c>
      <c r="E46" s="24">
        <f t="shared" si="13"/>
        <v>9000</v>
      </c>
      <c r="F46" s="24">
        <f t="shared" si="13"/>
        <v>11250</v>
      </c>
      <c r="G46" s="24">
        <f t="shared" si="13"/>
        <v>15600</v>
      </c>
      <c r="H46" s="23">
        <f t="shared" si="9"/>
        <v>44100</v>
      </c>
    </row>
    <row r="47" spans="2:11">
      <c r="B47" s="25" t="s">
        <v>36</v>
      </c>
      <c r="C47" s="26">
        <f>SUM(C41:C46)</f>
        <v>2895423</v>
      </c>
      <c r="D47" s="26">
        <f t="shared" ref="D47:H47" si="14">SUM(D41:D46)</f>
        <v>2804004.55</v>
      </c>
      <c r="E47" s="26">
        <f t="shared" si="14"/>
        <v>2628169.3250000002</v>
      </c>
      <c r="F47" s="26">
        <f t="shared" si="14"/>
        <v>3313060</v>
      </c>
      <c r="G47" s="26">
        <f t="shared" si="14"/>
        <v>2972800</v>
      </c>
      <c r="H47" s="27">
        <f t="shared" si="14"/>
        <v>11718033.875</v>
      </c>
    </row>
    <row r="48" spans="2:11">
      <c r="B48" s="15"/>
      <c r="C48" s="18"/>
      <c r="D48" s="18"/>
      <c r="E48" s="18"/>
      <c r="F48" s="18"/>
      <c r="G48" s="18"/>
      <c r="H48" s="28"/>
    </row>
    <row r="49" spans="2:12">
      <c r="B49" s="15"/>
      <c r="C49" s="21"/>
      <c r="D49" s="21"/>
      <c r="E49" s="21"/>
      <c r="F49" s="21"/>
      <c r="G49" s="21"/>
      <c r="H49" s="18"/>
    </row>
    <row r="50" spans="2:12" ht="18">
      <c r="C50" s="295" t="s">
        <v>38</v>
      </c>
      <c r="D50" s="295"/>
      <c r="E50" s="295"/>
      <c r="F50" s="295"/>
      <c r="G50" s="295"/>
    </row>
    <row r="52" spans="2:12" ht="15.75" thickBot="1">
      <c r="C52" s="29" t="s">
        <v>39</v>
      </c>
      <c r="D52" s="30" t="s">
        <v>40</v>
      </c>
      <c r="E52" s="30" t="s">
        <v>41</v>
      </c>
      <c r="F52" s="30" t="s">
        <v>42</v>
      </c>
      <c r="G52" s="30" t="s">
        <v>43</v>
      </c>
      <c r="H52" s="31" t="s">
        <v>5</v>
      </c>
    </row>
    <row r="53" spans="2:12" ht="15">
      <c r="B53" s="8" t="s">
        <v>10</v>
      </c>
      <c r="C53" s="22">
        <f>+'[1]Arroz e Feijão'!C38</f>
        <v>385104.1</v>
      </c>
      <c r="D53" s="22">
        <f>+'[1]Arroz e Feijão'!D38</f>
        <v>840674.90833333344</v>
      </c>
      <c r="E53" s="22">
        <f>+'[1]Arroz e Feijão'!E38</f>
        <v>1154507.5333333334</v>
      </c>
      <c r="F53" s="22">
        <f>+'[1]Arroz e Feijão'!F38</f>
        <v>1418288.6500000001</v>
      </c>
      <c r="G53" s="22">
        <f>+'[1]Arroz e Feijão'!G38</f>
        <v>1597843.0250000001</v>
      </c>
      <c r="H53" s="23">
        <f>SUM(D53:G53)</f>
        <v>5011314.1166666672</v>
      </c>
    </row>
    <row r="54" spans="2:12" ht="15">
      <c r="B54" s="8" t="s">
        <v>6</v>
      </c>
      <c r="C54" s="12">
        <f>+'[1]Milho e Feijão'!C40</f>
        <v>2210880</v>
      </c>
      <c r="D54" s="12">
        <f>+'[1]Milho e Feijão'!D40</f>
        <v>2501467.1700000004</v>
      </c>
      <c r="E54" s="12">
        <f>+'[1]Milho e Feijão'!E40</f>
        <v>2752776.5100000007</v>
      </c>
      <c r="F54" s="12">
        <f>+'[1]Milho e Feijão'!F40</f>
        <v>3291758.74</v>
      </c>
      <c r="G54" s="12">
        <f>+'[1]Milho e Feijão'!G40</f>
        <v>3589272.75</v>
      </c>
      <c r="H54" s="23">
        <f t="shared" ref="H54:H58" si="15">SUM(D54:G54)</f>
        <v>12135275.170000002</v>
      </c>
    </row>
    <row r="55" spans="2:12" ht="15">
      <c r="B55" s="8" t="s">
        <v>37</v>
      </c>
      <c r="C55" s="22">
        <f>+'[1]Arroz e Feijão'!C76+'[1]Milho e Feijão'!C76</f>
        <v>371832.92533333332</v>
      </c>
      <c r="D55" s="22">
        <f>+'[1]Arroz e Feijão'!D76+'[1]Milho e Feijão'!D76</f>
        <v>638616.26600000006</v>
      </c>
      <c r="E55" s="22">
        <f>+'[1]Arroz e Feijão'!E76+'[1]Milho e Feijão'!E76</f>
        <v>1057794.7646666667</v>
      </c>
      <c r="F55" s="22">
        <f>+'[1]Arroz e Feijão'!F76+'[1]Milho e Feijão'!F76</f>
        <v>1322665.5560000001</v>
      </c>
      <c r="G55" s="22">
        <f>+'[1]Arroz e Feijão'!G76+'[1]Milho e Feijão'!G76</f>
        <v>1322665.5560000001</v>
      </c>
      <c r="H55" s="23">
        <f t="shared" si="15"/>
        <v>4341742.1426666668</v>
      </c>
    </row>
    <row r="56" spans="2:12" ht="15">
      <c r="B56" s="8" t="s">
        <v>16</v>
      </c>
      <c r="C56" s="22">
        <f>+[1]Soja!C44</f>
        <v>51575</v>
      </c>
      <c r="D56" s="22">
        <f>+[1]Soja!D44</f>
        <v>140250</v>
      </c>
      <c r="E56" s="22">
        <f>+[1]Soja!E44</f>
        <v>445500</v>
      </c>
      <c r="F56" s="22">
        <f>+[1]Soja!F44</f>
        <v>660000</v>
      </c>
      <c r="G56" s="22">
        <f>+[1]Soja!G44</f>
        <v>660000</v>
      </c>
      <c r="H56" s="23">
        <f t="shared" si="15"/>
        <v>1905750</v>
      </c>
    </row>
    <row r="57" spans="2:12" ht="15">
      <c r="B57" s="8" t="s">
        <v>15</v>
      </c>
      <c r="C57" s="24">
        <f>+[1]Gergelim!C42</f>
        <v>118000</v>
      </c>
      <c r="D57" s="24">
        <f>+[1]Gergelim!D42</f>
        <v>140294.11764705883</v>
      </c>
      <c r="E57" s="24">
        <f>+[1]Gergelim!E42</f>
        <v>230588.23529411765</v>
      </c>
      <c r="F57" s="24">
        <f>+[1]Gergelim!F42</f>
        <v>264700</v>
      </c>
      <c r="G57" s="24">
        <f>+[1]Gergelim!G42</f>
        <v>266800</v>
      </c>
      <c r="H57" s="23">
        <f t="shared" si="15"/>
        <v>902382.3529411765</v>
      </c>
    </row>
    <row r="58" spans="2:12" ht="15">
      <c r="B58" s="8" t="s">
        <v>17</v>
      </c>
      <c r="C58" s="24">
        <f>+[1]Girassol!C44</f>
        <v>23643.939393939396</v>
      </c>
      <c r="D58" s="24">
        <f>+[1]Girassol!D44</f>
        <v>166544.11764705885</v>
      </c>
      <c r="E58" s="24">
        <f>+[1]Girassol!E44</f>
        <v>527247.05882352951</v>
      </c>
      <c r="F58" s="24">
        <f>+[1]Girassol!F44</f>
        <v>719400</v>
      </c>
      <c r="G58" s="24">
        <f>+[1]Girassol!G44</f>
        <v>754800</v>
      </c>
      <c r="H58" s="23">
        <f t="shared" si="15"/>
        <v>2167991.1764705884</v>
      </c>
    </row>
    <row r="59" spans="2:12">
      <c r="B59" s="25" t="s">
        <v>36</v>
      </c>
      <c r="C59" s="26">
        <f>SUM(C53:C58)</f>
        <v>3161035.9647272727</v>
      </c>
      <c r="D59" s="26">
        <f t="shared" ref="D59:H59" si="16">SUM(D53:D58)</f>
        <v>4427846.5796274524</v>
      </c>
      <c r="E59" s="26">
        <f t="shared" si="16"/>
        <v>6168414.1021176474</v>
      </c>
      <c r="F59" s="26">
        <f t="shared" si="16"/>
        <v>7676812.9460000005</v>
      </c>
      <c r="G59" s="26">
        <f t="shared" si="16"/>
        <v>8191381.3310000002</v>
      </c>
      <c r="H59" s="27">
        <f t="shared" si="16"/>
        <v>26464454.958745103</v>
      </c>
      <c r="J59" s="32"/>
      <c r="L59" s="32"/>
    </row>
    <row r="60" spans="2:12">
      <c r="B60" s="15"/>
      <c r="C60" s="18"/>
      <c r="D60" s="18"/>
      <c r="E60" s="18"/>
      <c r="F60" s="18"/>
      <c r="G60" s="18"/>
      <c r="H60" s="28"/>
    </row>
    <row r="61" spans="2:12" ht="15">
      <c r="B61" s="8" t="s">
        <v>32</v>
      </c>
      <c r="C61" s="11">
        <f>+[1]Bovinos!K24/1000</f>
        <v>43047.896399999998</v>
      </c>
      <c r="D61" s="11">
        <f>+[1]Bovinos!K25/1000</f>
        <v>62419.449780000003</v>
      </c>
      <c r="E61" s="11">
        <f>+[1]Bovinos!K26/1000</f>
        <v>98050.552362749993</v>
      </c>
      <c r="F61" s="11">
        <f>+[1]Bovinos!K27/1000</f>
        <v>145850.19663959063</v>
      </c>
      <c r="G61" s="11">
        <f>+[1]Bovinos!K28/1000</f>
        <v>216952.16750139112</v>
      </c>
      <c r="H61" s="23">
        <f>SUM(D61:G61)</f>
        <v>523272.36628373177</v>
      </c>
    </row>
    <row r="62" spans="2:12" ht="15">
      <c r="B62" s="8" t="s">
        <v>33</v>
      </c>
      <c r="C62" s="11">
        <f>+[1]Caprino!K24/1000</f>
        <v>62024.200243200001</v>
      </c>
      <c r="D62" s="11">
        <f>+[1]Caprino!K25/1000</f>
        <v>101099.44639641599</v>
      </c>
      <c r="E62" s="11">
        <f>+[1]Caprino!K26/1000</f>
        <v>202821.04323219458</v>
      </c>
      <c r="F62" s="11">
        <f>+[1]Caprino!K27/1000</f>
        <v>275836.6187957846</v>
      </c>
      <c r="G62" s="11">
        <f>+[1]Caprino!K28/1000</f>
        <v>375137.80156226695</v>
      </c>
      <c r="H62" s="23">
        <f t="shared" ref="H62:H64" si="17">SUM(D62:G62)</f>
        <v>954894.90998666198</v>
      </c>
    </row>
    <row r="63" spans="2:12" ht="15">
      <c r="B63" s="8" t="s">
        <v>34</v>
      </c>
      <c r="C63" s="11">
        <f>+[1]Suinos!I25/1000</f>
        <v>168</v>
      </c>
      <c r="D63" s="11">
        <f>+[1]Suinos!I26/1000</f>
        <v>527.08319999999992</v>
      </c>
      <c r="E63" s="11">
        <f>+[1]Suinos!I27/1000</f>
        <v>5031.8876159999982</v>
      </c>
      <c r="F63" s="11">
        <f>+[1]Suinos!I28/1000</f>
        <v>34468.430169599982</v>
      </c>
      <c r="G63" s="11">
        <f>+[1]Suinos!I29/1000</f>
        <v>130980.03464447995</v>
      </c>
      <c r="H63" s="23">
        <f t="shared" si="17"/>
        <v>171007.43563007994</v>
      </c>
    </row>
    <row r="64" spans="2:12" ht="15">
      <c r="B64" s="8" t="s">
        <v>35</v>
      </c>
      <c r="C64" s="11">
        <f>+[1]Avicultura!F32</f>
        <v>130905</v>
      </c>
      <c r="D64" s="11">
        <f>+[1]Avicultura!G32</f>
        <v>163631</v>
      </c>
      <c r="E64" s="11">
        <f>+[1]Avicultura!H32</f>
        <v>204539</v>
      </c>
      <c r="F64" s="11">
        <f>+[1]Avicultura!I32</f>
        <v>255674</v>
      </c>
      <c r="G64" s="11">
        <f>+[1]Avicultura!J32</f>
        <v>319593</v>
      </c>
      <c r="H64" s="23">
        <f t="shared" si="17"/>
        <v>943437</v>
      </c>
    </row>
    <row r="65" spans="2:10" ht="15">
      <c r="B65" s="25" t="s">
        <v>36</v>
      </c>
      <c r="C65" s="33">
        <f>SUM(C61:C64)</f>
        <v>236145.0966432</v>
      </c>
      <c r="D65" s="33">
        <f t="shared" ref="D65:G65" si="18">SUM(D61:D64)</f>
        <v>327676.97937641595</v>
      </c>
      <c r="E65" s="33">
        <f t="shared" si="18"/>
        <v>510442.48321094457</v>
      </c>
      <c r="F65" s="33">
        <f t="shared" si="18"/>
        <v>711829.24560497515</v>
      </c>
      <c r="G65" s="33">
        <f t="shared" si="18"/>
        <v>1042663.003708138</v>
      </c>
      <c r="H65" s="34">
        <f>SUM(H61:H64)</f>
        <v>2592611.7119004736</v>
      </c>
      <c r="J65" s="32"/>
    </row>
    <row r="67" spans="2:10" ht="18">
      <c r="C67" s="295" t="s">
        <v>44</v>
      </c>
      <c r="D67" s="295"/>
      <c r="E67" s="295"/>
      <c r="F67" s="295"/>
      <c r="G67" s="295"/>
    </row>
    <row r="69" spans="2:10" ht="15.75" thickBot="1">
      <c r="C69" s="29" t="s">
        <v>39</v>
      </c>
      <c r="D69" s="30" t="s">
        <v>40</v>
      </c>
      <c r="E69" s="30" t="s">
        <v>41</v>
      </c>
      <c r="F69" s="30" t="s">
        <v>42</v>
      </c>
      <c r="G69" s="30" t="s">
        <v>43</v>
      </c>
      <c r="H69" s="31" t="s">
        <v>5</v>
      </c>
    </row>
    <row r="70" spans="2:10" ht="15">
      <c r="B70" s="8" t="s">
        <v>10</v>
      </c>
      <c r="C70" s="22">
        <f>+'[1]Arroz e Feijão'!C63</f>
        <v>4655908569</v>
      </c>
      <c r="D70" s="22">
        <f>+'[1]Arroz e Feijão'!D63</f>
        <v>10163759641.750002</v>
      </c>
      <c r="E70" s="22">
        <f>+'[1]Arroz e Feijão'!E63</f>
        <v>13957996078.000002</v>
      </c>
      <c r="F70" s="22">
        <f>+'[1]Arroz e Feijão'!F63</f>
        <v>17147109778.5</v>
      </c>
      <c r="G70" s="22">
        <f>+'[1]Arroz e Feijão'!G63</f>
        <v>19317922172.25</v>
      </c>
      <c r="H70" s="23">
        <f>SUM(D70:G70)</f>
        <v>60586787670.5</v>
      </c>
    </row>
    <row r="71" spans="2:10" ht="15">
      <c r="B71" s="8" t="s">
        <v>6</v>
      </c>
      <c r="C71" s="12">
        <f>+'[1]Milho e Feijão'!C65</f>
        <v>33163200</v>
      </c>
      <c r="D71" s="12">
        <f>+'[1]Milho e Feijão'!D65</f>
        <v>25014671700.000004</v>
      </c>
      <c r="E71" s="12">
        <f>+'[1]Milho e Feijão'!E65</f>
        <v>27527765100.000008</v>
      </c>
      <c r="F71" s="12">
        <f>+'[1]Milho e Feijão'!F65</f>
        <v>32917587400.000004</v>
      </c>
      <c r="G71" s="12">
        <f>+'[1]Milho e Feijão'!G65</f>
        <v>35892727500</v>
      </c>
      <c r="H71" s="23">
        <f t="shared" ref="H71:H84" si="19">SUM(D71:G71)</f>
        <v>121352751700.00002</v>
      </c>
    </row>
    <row r="72" spans="2:10" ht="15">
      <c r="B72" s="8" t="s">
        <v>37</v>
      </c>
      <c r="C72" s="22">
        <f>+'[1]Arroz e Feijão'!C102+'[1]Milho e Feijão'!C96</f>
        <v>5452670048</v>
      </c>
      <c r="D72" s="22">
        <f>+'[1]Arroz e Feijão'!D102+'[1]Milho e Feijão'!D96</f>
        <v>12741297024.000002</v>
      </c>
      <c r="E72" s="22">
        <f>+'[1]Arroz e Feijão'!E102+'[1]Milho e Feijão'!E96</f>
        <v>21103707085.333336</v>
      </c>
      <c r="F72" s="22">
        <f>+'[1]Arroz e Feijão'!F102+'[1]Milho e Feijão'!F96</f>
        <v>26388490240.000004</v>
      </c>
      <c r="G72" s="22">
        <f>+'[1]Arroz e Feijão'!G102+'[1]Milho e Feijão'!G96</f>
        <v>26388490240.000004</v>
      </c>
      <c r="H72" s="23">
        <f t="shared" si="19"/>
        <v>86621984589.333344</v>
      </c>
    </row>
    <row r="73" spans="2:10" ht="15">
      <c r="B73" s="8" t="s">
        <v>16</v>
      </c>
      <c r="C73" s="22">
        <f>+[1]Soja!C71</f>
        <v>1199118750</v>
      </c>
      <c r="D73" s="22">
        <f>+[1]Soja!D71</f>
        <v>3260812500</v>
      </c>
      <c r="E73" s="22">
        <f>+[1]Soja!E71</f>
        <v>10357875000</v>
      </c>
      <c r="F73" s="22">
        <f>+[1]Soja!F71</f>
        <v>15345000000</v>
      </c>
      <c r="G73" s="22">
        <f>+[1]Soja!G71</f>
        <v>15345000000</v>
      </c>
      <c r="H73" s="23">
        <f t="shared" si="19"/>
        <v>44308687500</v>
      </c>
    </row>
    <row r="74" spans="2:10" ht="15">
      <c r="B74" s="8" t="s">
        <v>15</v>
      </c>
      <c r="C74" s="24">
        <f>+[1]Gergelim!C61</f>
        <v>6584400000</v>
      </c>
      <c r="D74" s="24">
        <f>+[1]Gergelim!D61</f>
        <v>7828411764.705883</v>
      </c>
      <c r="E74" s="24">
        <f>+[1]Gergelim!E61</f>
        <v>12866823529.411766</v>
      </c>
      <c r="F74" s="24">
        <f>+[1]Gergelim!F61</f>
        <v>14770260000</v>
      </c>
      <c r="G74" s="24">
        <f>+[1]Gergelim!G61</f>
        <v>14887440000</v>
      </c>
      <c r="H74" s="23">
        <f t="shared" si="19"/>
        <v>50352935294.117645</v>
      </c>
    </row>
    <row r="75" spans="2:10" ht="15">
      <c r="B75" s="8" t="s">
        <v>17</v>
      </c>
      <c r="C75" s="24">
        <f>+[1]Girassol!C69</f>
        <v>513073484.84848487</v>
      </c>
      <c r="D75" s="24">
        <f>+[1]Girassol!D69</f>
        <v>3663970588.2352948</v>
      </c>
      <c r="E75" s="24">
        <f>+[1]Girassol!E69</f>
        <v>11599435294.117649</v>
      </c>
      <c r="F75" s="24">
        <f>+[1]Girassol!F69</f>
        <v>15826800000</v>
      </c>
      <c r="G75" s="24">
        <f>+[1]Girassol!G69</f>
        <v>16605600000</v>
      </c>
      <c r="H75" s="23">
        <f t="shared" si="19"/>
        <v>47695805882.352943</v>
      </c>
    </row>
    <row r="76" spans="2:10" ht="15">
      <c r="B76" s="8" t="s">
        <v>45</v>
      </c>
      <c r="C76" s="35">
        <f>SUM(C70:C75)</f>
        <v>18438334051.848484</v>
      </c>
      <c r="D76" s="35">
        <f t="shared" ref="D76:H76" si="20">SUM(D70:D75)</f>
        <v>62672923218.691185</v>
      </c>
      <c r="E76" s="35">
        <f t="shared" si="20"/>
        <v>97413602086.862762</v>
      </c>
      <c r="F76" s="35">
        <f t="shared" si="20"/>
        <v>122395247418.5</v>
      </c>
      <c r="G76" s="35">
        <f t="shared" si="20"/>
        <v>128437179912.25</v>
      </c>
      <c r="H76" s="36">
        <f t="shared" si="20"/>
        <v>410918952636.30402</v>
      </c>
    </row>
    <row r="77" spans="2:10" ht="15">
      <c r="B77" s="8"/>
      <c r="C77" s="24"/>
      <c r="D77" s="24"/>
      <c r="E77" s="24"/>
      <c r="F77" s="24"/>
      <c r="G77" s="24"/>
      <c r="H77" s="23"/>
    </row>
    <row r="78" spans="2:10" ht="15">
      <c r="B78" s="8" t="s">
        <v>32</v>
      </c>
      <c r="C78" s="24">
        <f>+[1]Bovinos!M24</f>
        <v>5596226532</v>
      </c>
      <c r="D78" s="24">
        <f>+[1]Bovinos!M25</f>
        <v>8114528471.4000006</v>
      </c>
      <c r="E78" s="24">
        <f>+[1]Bovinos!M26</f>
        <v>12746571807.157499</v>
      </c>
      <c r="F78" s="24">
        <f>+[1]Bovinos!M27</f>
        <v>18960525563.146782</v>
      </c>
      <c r="G78" s="24">
        <f>+[1]Bovinos!M28</f>
        <v>28203781775.180843</v>
      </c>
      <c r="H78" s="23">
        <f>SUM(D78:G78)</f>
        <v>68025407616.885132</v>
      </c>
    </row>
    <row r="79" spans="2:10" ht="15">
      <c r="B79" s="8" t="s">
        <v>33</v>
      </c>
      <c r="C79" s="24">
        <f>+[1]Caprino!M24</f>
        <v>8063146031.6160002</v>
      </c>
      <c r="D79" s="24">
        <f>+[1]Caprino!M25</f>
        <v>13142928031.534079</v>
      </c>
      <c r="E79" s="24">
        <f>+[1]Caprino!M26</f>
        <v>26366735620.185295</v>
      </c>
      <c r="F79" s="24">
        <f>+[1]Caprino!M27</f>
        <v>35858760443.451996</v>
      </c>
      <c r="G79" s="24">
        <f>+[1]Caprino!M28</f>
        <v>48767914203.094704</v>
      </c>
      <c r="H79" s="23">
        <f t="shared" ref="H79:H81" si="21">SUM(D79:G79)</f>
        <v>124136338298.26608</v>
      </c>
    </row>
    <row r="80" spans="2:10" ht="15">
      <c r="B80" s="8" t="s">
        <v>34</v>
      </c>
      <c r="C80" s="24">
        <f>+[1]Suinos!K25</f>
        <v>20160000</v>
      </c>
      <c r="D80" s="24">
        <f>+[1]Suinos!K26</f>
        <v>68520816</v>
      </c>
      <c r="E80" s="24">
        <f>+[1]Suinos!K27</f>
        <v>654145390.0799998</v>
      </c>
      <c r="F80" s="24">
        <f>+[1]Suinos!K28</f>
        <v>4480895922.0479975</v>
      </c>
      <c r="G80" s="24">
        <f>+[1]Suinos!K29</f>
        <v>17027404503.782394</v>
      </c>
      <c r="H80" s="23">
        <f t="shared" si="21"/>
        <v>22230966631.910393</v>
      </c>
    </row>
    <row r="81" spans="2:8" ht="15">
      <c r="B81" s="37" t="s">
        <v>35</v>
      </c>
      <c r="C81" s="38">
        <f>+[1]Avicultura!F38</f>
        <v>29089825000</v>
      </c>
      <c r="D81" s="38">
        <f>+[1]Avicultura!G38</f>
        <v>36362208000</v>
      </c>
      <c r="E81" s="38">
        <f>+[1]Avicultura!H38</f>
        <v>43325606400</v>
      </c>
      <c r="F81" s="38">
        <f>+[1]Avicultura!I38</f>
        <v>51498047800</v>
      </c>
      <c r="G81" s="38">
        <f>+[1]Avicultura!J38</f>
        <v>61048907400</v>
      </c>
      <c r="H81" s="39">
        <f t="shared" si="21"/>
        <v>192234769600</v>
      </c>
    </row>
    <row r="82" spans="2:8">
      <c r="B82" s="15" t="s">
        <v>46</v>
      </c>
      <c r="C82" s="35">
        <f>SUM(C78:C81)</f>
        <v>42769357563.615997</v>
      </c>
      <c r="D82" s="35">
        <f t="shared" ref="D82:G82" si="22">SUM(D78:D81)</f>
        <v>57688185318.934082</v>
      </c>
      <c r="E82" s="35">
        <f t="shared" si="22"/>
        <v>83093059217.422791</v>
      </c>
      <c r="F82" s="35">
        <f t="shared" si="22"/>
        <v>110798229728.64677</v>
      </c>
      <c r="G82" s="35">
        <f t="shared" si="22"/>
        <v>155048007882.05792</v>
      </c>
      <c r="H82" s="28">
        <f>SUM(C82:G82)</f>
        <v>449396839710.67755</v>
      </c>
    </row>
    <row r="83" spans="2:8">
      <c r="B83" s="15"/>
      <c r="C83" s="35"/>
      <c r="D83" s="35"/>
      <c r="E83" s="35"/>
      <c r="F83" s="35"/>
      <c r="G83" s="35"/>
      <c r="H83" s="28"/>
    </row>
    <row r="84" spans="2:8" ht="15">
      <c r="B84" s="8" t="s">
        <v>5</v>
      </c>
      <c r="C84" s="40">
        <f>+C76+C82</f>
        <v>61207691615.464478</v>
      </c>
      <c r="D84" s="40">
        <f t="shared" ref="D84:G84" si="23">+D76+D82</f>
        <v>120361108537.62527</v>
      </c>
      <c r="E84" s="40">
        <f t="shared" si="23"/>
        <v>180506661304.28555</v>
      </c>
      <c r="F84" s="40">
        <f t="shared" si="23"/>
        <v>233193477147.14679</v>
      </c>
      <c r="G84" s="40">
        <f t="shared" si="23"/>
        <v>283485187794.30792</v>
      </c>
      <c r="H84" s="41">
        <f t="shared" si="19"/>
        <v>817546434783.36548</v>
      </c>
    </row>
    <row r="85" spans="2:8" ht="15">
      <c r="C85" s="42">
        <f t="shared" ref="C85:G85" si="24">+C84/62</f>
        <v>987220832.50749159</v>
      </c>
      <c r="D85" s="42">
        <f t="shared" si="24"/>
        <v>1941308202.2197626</v>
      </c>
      <c r="E85" s="42">
        <f t="shared" si="24"/>
        <v>2911397762.9723477</v>
      </c>
      <c r="F85" s="42">
        <f t="shared" si="24"/>
        <v>3761185115.2765613</v>
      </c>
      <c r="G85" s="42">
        <f t="shared" si="24"/>
        <v>4572341738.6178694</v>
      </c>
      <c r="H85" s="43">
        <f>+H84/62</f>
        <v>13186232819.08654</v>
      </c>
    </row>
    <row r="87" spans="2:8" ht="15">
      <c r="B87" s="8"/>
      <c r="C87" s="40"/>
      <c r="D87" s="40"/>
      <c r="E87" s="40"/>
      <c r="F87" s="40"/>
      <c r="G87" s="40"/>
      <c r="H87" s="40"/>
    </row>
    <row r="90" spans="2:8" ht="18">
      <c r="B90" s="297" t="s">
        <v>47</v>
      </c>
      <c r="C90" s="297"/>
      <c r="D90" s="297"/>
      <c r="E90" s="297"/>
      <c r="F90" s="297"/>
      <c r="G90" s="297"/>
      <c r="H90" s="297"/>
    </row>
    <row r="91" spans="2:8" ht="15">
      <c r="B91" s="44"/>
      <c r="C91" s="45" t="s">
        <v>39</v>
      </c>
      <c r="D91" s="46" t="s">
        <v>40</v>
      </c>
      <c r="E91" s="46" t="s">
        <v>41</v>
      </c>
      <c r="F91" s="46" t="s">
        <v>42</v>
      </c>
      <c r="G91" s="46" t="s">
        <v>43</v>
      </c>
      <c r="H91" s="46" t="s">
        <v>5</v>
      </c>
    </row>
    <row r="92" spans="2:8">
      <c r="B92" s="1" t="s">
        <v>48</v>
      </c>
      <c r="C92" s="22">
        <f>+'[1]Arroz e Feijão'!C66+'[1]Arroz e Feijão'!C105+'[1]Milho e Feijão'!C99+[1]Soja!C74+[1]Gergelim!C64+[1]Girassol!C72</f>
        <v>8378554.2133333338</v>
      </c>
      <c r="D92" s="22">
        <v>862500</v>
      </c>
      <c r="E92" s="22">
        <v>700781.25</v>
      </c>
      <c r="F92" s="22">
        <v>1138769.53125</v>
      </c>
      <c r="G92" s="22">
        <v>355865.478515625</v>
      </c>
      <c r="H92" s="11">
        <f>SUM(D92:G92)</f>
        <v>3057916.259765625</v>
      </c>
    </row>
    <row r="93" spans="2:8">
      <c r="B93" s="1" t="s">
        <v>49</v>
      </c>
      <c r="C93" s="22"/>
      <c r="D93" s="22"/>
      <c r="E93" s="22">
        <f>5*270</f>
        <v>1350</v>
      </c>
      <c r="F93" s="22">
        <f>15*270</f>
        <v>4050</v>
      </c>
      <c r="G93" s="22">
        <f>30*270</f>
        <v>8100</v>
      </c>
      <c r="H93" s="11">
        <f t="shared" ref="H93:H95" si="25">SUM(D93:G93)</f>
        <v>13500</v>
      </c>
    </row>
    <row r="94" spans="2:8">
      <c r="B94" s="1" t="s">
        <v>50</v>
      </c>
      <c r="C94" s="22"/>
      <c r="D94" s="22">
        <f>(7000*3)+D103/50+(D104/80)*2</f>
        <v>39878.868665192815</v>
      </c>
      <c r="E94" s="22">
        <f t="shared" ref="E94:G94" si="26">(7000*3)+E103/50+(E104/80)*2</f>
        <v>47240.469193699348</v>
      </c>
      <c r="F94" s="22">
        <f t="shared" si="26"/>
        <v>53590.780718999995</v>
      </c>
      <c r="G94" s="22">
        <f t="shared" si="26"/>
        <v>56078.053942333339</v>
      </c>
      <c r="H94" s="11">
        <f t="shared" si="25"/>
        <v>196788.17252022552</v>
      </c>
    </row>
    <row r="95" spans="2:8">
      <c r="B95" s="1" t="s">
        <v>51</v>
      </c>
      <c r="C95" s="24">
        <f>+'[1]Arroz e Feijão'!C67+'[1]Arroz e Feijão'!C106+'[1]Milho e Feijão'!C100+[1]Soja!C75+[1]Gergelim!C65+[1]Girassol!C73</f>
        <v>10902.159686464649</v>
      </c>
      <c r="D95" s="24">
        <f>+'[1]Arroz e Feijão'!D67+'[1]Arroz e Feijão'!D106+'[1]Milho e Feijão'!D100+[1]Soja!D75+[1]Gergelim!D65+[1]Girassol!D73</f>
        <v>18003.503248976038</v>
      </c>
      <c r="E95" s="24">
        <f>+'[1]Arroz e Feijão'!E67+'[1]Arroz e Feijão'!E106+'[1]Milho e Feijão'!E100+[1]Soja!E75+[1]Gergelim!E65+[1]Girassol!E73</f>
        <v>29610.373367843138</v>
      </c>
      <c r="F95" s="24">
        <f>+'[1]Arroz e Feijão'!F67+'[1]Arroz e Feijão'!F106+'[1]Milho e Feijão'!F100+[1]Soja!F75+[1]Gergelim!F65+[1]Girassol!F73</f>
        <v>36928.638693856206</v>
      </c>
      <c r="G95" s="24">
        <f>+'[1]Arroz e Feijão'!G67+'[1]Arroz e Feijão'!G106+'[1]Milho e Feijão'!G100+[1]Soja!G75+[1]Gergelim!G65+[1]Girassol!G73</f>
        <v>38928.23313830066</v>
      </c>
      <c r="H95" s="11">
        <f t="shared" si="25"/>
        <v>123470.74844897605</v>
      </c>
    </row>
    <row r="96" spans="2:8">
      <c r="B96" s="1" t="s">
        <v>52</v>
      </c>
      <c r="C96" s="24"/>
      <c r="D96" s="24"/>
      <c r="E96" s="24">
        <v>105000</v>
      </c>
      <c r="F96" s="24"/>
      <c r="G96" s="24"/>
      <c r="H96" s="11"/>
    </row>
    <row r="97" spans="2:8" ht="15">
      <c r="B97" s="47" t="s">
        <v>5</v>
      </c>
      <c r="C97" s="48">
        <f>SUM(C92:C95)</f>
        <v>8389456.3730197977</v>
      </c>
      <c r="D97" s="48">
        <f t="shared" ref="D97:G97" si="27">SUM(D92:D95)</f>
        <v>920382.37191416894</v>
      </c>
      <c r="E97" s="48">
        <f t="shared" si="27"/>
        <v>778982.09256154241</v>
      </c>
      <c r="F97" s="48">
        <f t="shared" si="27"/>
        <v>1233338.9506628562</v>
      </c>
      <c r="G97" s="48">
        <f t="shared" si="27"/>
        <v>458971.76559625898</v>
      </c>
      <c r="H97" s="48">
        <f>SUM(H92:H96)</f>
        <v>3391675.1807348263</v>
      </c>
    </row>
    <row r="100" spans="2:8" ht="18">
      <c r="D100" s="295" t="s">
        <v>53</v>
      </c>
      <c r="E100" s="295"/>
      <c r="F100" s="295"/>
    </row>
    <row r="101" spans="2:8" ht="18">
      <c r="D101" s="49"/>
      <c r="E101" s="49"/>
      <c r="F101" s="49"/>
    </row>
    <row r="102" spans="2:8" ht="15.75" thickBot="1">
      <c r="C102" s="29" t="s">
        <v>39</v>
      </c>
      <c r="D102" s="30" t="s">
        <v>40</v>
      </c>
      <c r="E102" s="30" t="s">
        <v>41</v>
      </c>
      <c r="F102" s="30" t="s">
        <v>42</v>
      </c>
      <c r="G102" s="30" t="s">
        <v>43</v>
      </c>
    </row>
    <row r="103" spans="2:8">
      <c r="B103" s="1" t="s">
        <v>54</v>
      </c>
      <c r="C103" s="22">
        <f>+'[1]Arroz e Feijão'!C68+'[1]Arroz e Feijão'!C110+'[1]Milho e Feijão'!C70+'[1]Milho e Feijão'!C101+[1]Girassol!C74+[1]Soja!C76+[1]Gergelim!C66</f>
        <v>118204.66882424243</v>
      </c>
      <c r="D103" s="22">
        <f>+'[1]Arroz e Feijão'!D68+'[1]Arroz e Feijão'!D110+'[1]Milho e Feijão'!D70+'[1]Milho e Feijão'!D101+[1]Girassol!D74+[1]Soja!D76+[1]Gergelim!D66</f>
        <v>175617.3829320262</v>
      </c>
      <c r="E103" s="22">
        <f>+'[1]Arroz e Feijão'!E68+'[1]Arroz e Feijão'!E110+'[1]Milho e Feijão'!E70+'[1]Milho e Feijão'!E101+[1]Girassol!E74+[1]Soja!E76+[1]Gergelim!E66</f>
        <v>244097.38784836602</v>
      </c>
      <c r="F103" s="22">
        <f>+'[1]Arroz e Feijão'!F68+'[1]Arroz e Feijão'!F110+'[1]Milho e Feijão'!F70+'[1]Milho e Feijão'!F101+[1]Girassol!F74+[1]Soja!F76+[1]Gergelim!F66</f>
        <v>303170.05319999997</v>
      </c>
      <c r="G103" s="22">
        <f>+'[1]Arroz e Feijão'!G68+'[1]Arroz e Feijão'!G110+'[1]Milho e Feijão'!G70+'[1]Milho e Feijão'!G101+[1]Girassol!G74+[1]Soja!G76+[1]Gergelim!G66</f>
        <v>326307.47853333334</v>
      </c>
    </row>
    <row r="104" spans="2:8">
      <c r="B104" s="1" t="s">
        <v>55</v>
      </c>
      <c r="C104" s="22">
        <f>+C103*3.5</f>
        <v>413716.3408848485</v>
      </c>
      <c r="D104" s="22">
        <f t="shared" ref="D104:G104" si="28">+D103*3.5</f>
        <v>614660.84026209172</v>
      </c>
      <c r="E104" s="22">
        <f t="shared" si="28"/>
        <v>854340.85746928107</v>
      </c>
      <c r="F104" s="22">
        <f t="shared" si="28"/>
        <v>1061095.1861999999</v>
      </c>
      <c r="G104" s="22">
        <f t="shared" si="28"/>
        <v>1142076.1748666668</v>
      </c>
    </row>
    <row r="105" spans="2:8">
      <c r="B105" s="1" t="s">
        <v>56</v>
      </c>
      <c r="C105" s="22">
        <f>+C65/22</f>
        <v>10733.868029236364</v>
      </c>
      <c r="D105" s="22">
        <f>+D65/22</f>
        <v>14894.408153473452</v>
      </c>
      <c r="E105" s="22">
        <f>+E65/22</f>
        <v>23201.931055042936</v>
      </c>
      <c r="F105" s="22">
        <f>+F65/22</f>
        <v>32355.874800226142</v>
      </c>
      <c r="G105" s="22">
        <f>+G65/22</f>
        <v>47393.772895824455</v>
      </c>
    </row>
    <row r="124" spans="2:8" ht="18">
      <c r="D124" s="3"/>
      <c r="E124" s="3" t="s">
        <v>62</v>
      </c>
      <c r="F124" s="3"/>
      <c r="G124" s="3"/>
    </row>
    <row r="125" spans="2:8">
      <c r="C125" s="50"/>
    </row>
    <row r="126" spans="2:8" ht="15">
      <c r="C126" s="51">
        <v>2019</v>
      </c>
      <c r="D126" s="52" t="s">
        <v>57</v>
      </c>
      <c r="E126" s="53" t="s">
        <v>58</v>
      </c>
      <c r="F126" s="53" t="s">
        <v>59</v>
      </c>
      <c r="G126" s="53" t="s">
        <v>60</v>
      </c>
      <c r="H126" s="53" t="s">
        <v>61</v>
      </c>
    </row>
    <row r="128" spans="2:8">
      <c r="B128" s="1" t="s">
        <v>63</v>
      </c>
      <c r="C128" s="11">
        <v>1077285887.906009</v>
      </c>
      <c r="D128" s="22">
        <v>1123285887.906009</v>
      </c>
      <c r="E128" s="22">
        <v>1169285887.906009</v>
      </c>
      <c r="F128" s="22">
        <v>1215285887.906009</v>
      </c>
      <c r="G128" s="22">
        <v>1261285887.906009</v>
      </c>
      <c r="H128" s="22">
        <v>1307285887.906009</v>
      </c>
    </row>
    <row r="129" spans="2:8">
      <c r="B129" s="1" t="s">
        <v>64</v>
      </c>
      <c r="C129" s="11">
        <v>511461000</v>
      </c>
      <c r="D129" s="22">
        <v>531961000</v>
      </c>
      <c r="E129" s="22">
        <v>552461000</v>
      </c>
      <c r="F129" s="22">
        <v>572961000</v>
      </c>
      <c r="G129" s="22">
        <v>593461000</v>
      </c>
      <c r="H129" s="22">
        <v>613961000</v>
      </c>
    </row>
    <row r="133" spans="2:8" ht="15">
      <c r="B133" s="54"/>
      <c r="C133" s="55" t="s">
        <v>63</v>
      </c>
      <c r="D133" s="56" t="s">
        <v>64</v>
      </c>
    </row>
    <row r="134" spans="2:8">
      <c r="B134" s="57">
        <v>2015</v>
      </c>
      <c r="C134" s="58">
        <v>945597.81616396201</v>
      </c>
      <c r="D134" s="58">
        <v>587711.12271992001</v>
      </c>
    </row>
    <row r="135" spans="2:8">
      <c r="B135" s="59">
        <v>2016</v>
      </c>
      <c r="C135" s="58">
        <v>780000.72849699401</v>
      </c>
      <c r="D135" s="58">
        <v>451569.85453000001</v>
      </c>
    </row>
    <row r="136" spans="2:8">
      <c r="B136" s="59">
        <v>2017</v>
      </c>
      <c r="C136" s="58">
        <v>851605.5554603046</v>
      </c>
      <c r="D136" s="58">
        <v>548141.89070036495</v>
      </c>
    </row>
    <row r="137" spans="2:8">
      <c r="B137" s="59">
        <v>2018</v>
      </c>
      <c r="C137" s="58">
        <v>1077285.8879060089</v>
      </c>
      <c r="D137" s="58">
        <v>552630.214484</v>
      </c>
    </row>
    <row r="160" spans="2:14" ht="15">
      <c r="B160" s="299" t="s">
        <v>65</v>
      </c>
      <c r="C160" s="300" t="s">
        <v>66</v>
      </c>
      <c r="D160" s="300"/>
      <c r="E160" s="300"/>
      <c r="F160" s="300"/>
      <c r="G160" s="300"/>
      <c r="H160" s="300"/>
      <c r="I160" s="300"/>
      <c r="J160" s="301" t="s">
        <v>67</v>
      </c>
      <c r="K160" s="298" t="s">
        <v>68</v>
      </c>
      <c r="L160" s="298" t="s">
        <v>69</v>
      </c>
      <c r="M160" s="298" t="s">
        <v>70</v>
      </c>
      <c r="N160" s="298" t="s">
        <v>71</v>
      </c>
    </row>
    <row r="161" spans="2:14" ht="15">
      <c r="B161" s="299"/>
      <c r="C161" s="60" t="s">
        <v>15</v>
      </c>
      <c r="D161" s="60" t="s">
        <v>16</v>
      </c>
      <c r="E161" s="60" t="s">
        <v>17</v>
      </c>
      <c r="F161" s="60" t="s">
        <v>26</v>
      </c>
      <c r="G161" s="60" t="s">
        <v>10</v>
      </c>
      <c r="H161" s="60" t="s">
        <v>6</v>
      </c>
      <c r="I161" s="60" t="s">
        <v>37</v>
      </c>
      <c r="J161" s="301"/>
      <c r="K161" s="298"/>
      <c r="L161" s="298"/>
      <c r="M161" s="298"/>
      <c r="N161" s="298"/>
    </row>
    <row r="162" spans="2:14" ht="15.75">
      <c r="B162" s="61" t="s">
        <v>72</v>
      </c>
      <c r="C162" s="62">
        <v>47430</v>
      </c>
      <c r="D162" s="62"/>
      <c r="E162" s="62"/>
      <c r="F162" s="62"/>
      <c r="G162" s="62"/>
      <c r="H162" s="62">
        <v>25110</v>
      </c>
      <c r="I162" s="62">
        <v>9523.1999999999989</v>
      </c>
      <c r="J162" s="63">
        <v>1.5</v>
      </c>
      <c r="K162" s="64">
        <f>SUM(C162:I162)</f>
        <v>82063.199999999997</v>
      </c>
      <c r="L162" s="62">
        <v>13725</v>
      </c>
      <c r="M162" s="65">
        <f>K162-L162</f>
        <v>68338.2</v>
      </c>
      <c r="N162" s="74">
        <v>0.86716393442622941</v>
      </c>
    </row>
    <row r="163" spans="2:14" ht="15.75">
      <c r="B163" s="67" t="s">
        <v>73</v>
      </c>
      <c r="C163" s="68"/>
      <c r="D163" s="68">
        <v>46500</v>
      </c>
      <c r="E163" s="68"/>
      <c r="F163" s="68"/>
      <c r="G163" s="68"/>
      <c r="H163" s="68">
        <f>H162</f>
        <v>25110</v>
      </c>
      <c r="I163" s="68">
        <f>I162</f>
        <v>9523.1999999999989</v>
      </c>
      <c r="J163" s="69">
        <v>1.5</v>
      </c>
      <c r="K163" s="70">
        <f>SUM(C163:I163)</f>
        <v>81133.2</v>
      </c>
      <c r="L163" s="68">
        <f>[2]Soja!$E$30+'[2]Milho e Feijão'!$D$28*'[2]Milho e Feijão'!$B$14</f>
        <v>16050</v>
      </c>
      <c r="M163" s="71">
        <f t="shared" ref="M163:M166" si="29">K163-L163</f>
        <v>65083.199999999997</v>
      </c>
      <c r="N163" s="75">
        <v>0.77822950819672121</v>
      </c>
    </row>
    <row r="164" spans="2:14" ht="15.75">
      <c r="B164" s="61" t="s">
        <v>74</v>
      </c>
      <c r="C164" s="62"/>
      <c r="D164" s="62"/>
      <c r="E164" s="62">
        <v>36890</v>
      </c>
      <c r="F164" s="62"/>
      <c r="G164" s="62"/>
      <c r="H164" s="62">
        <f>H163</f>
        <v>25110</v>
      </c>
      <c r="I164" s="62">
        <f t="shared" ref="I164" si="30">I163</f>
        <v>9523.1999999999989</v>
      </c>
      <c r="J164" s="63">
        <v>1.5</v>
      </c>
      <c r="K164" s="64">
        <f>SUM(C164:I164)</f>
        <v>71523.199999999997</v>
      </c>
      <c r="L164" s="62">
        <v>14850</v>
      </c>
      <c r="M164" s="65">
        <f t="shared" si="29"/>
        <v>56673.2</v>
      </c>
      <c r="N164" s="74">
        <v>0.54844808743169393</v>
      </c>
    </row>
    <row r="165" spans="2:14" ht="15.75">
      <c r="B165" s="67" t="s">
        <v>75</v>
      </c>
      <c r="C165" s="68"/>
      <c r="D165" s="68"/>
      <c r="E165" s="68"/>
      <c r="F165" s="68"/>
      <c r="G165" s="68">
        <v>42315</v>
      </c>
      <c r="H165" s="68"/>
      <c r="I165" s="68">
        <v>23808</v>
      </c>
      <c r="J165" s="69">
        <v>1</v>
      </c>
      <c r="K165" s="70">
        <f>SUM(C165:I165)</f>
        <v>66123</v>
      </c>
      <c r="L165" s="68">
        <v>22050</v>
      </c>
      <c r="M165" s="71">
        <f t="shared" si="29"/>
        <v>44073</v>
      </c>
      <c r="N165" s="75">
        <v>0.20418032786885254</v>
      </c>
    </row>
    <row r="166" spans="2:14" ht="15.75">
      <c r="B166" s="61" t="s">
        <v>76</v>
      </c>
      <c r="C166" s="62"/>
      <c r="D166" s="62">
        <f>D163/2</f>
        <v>23250</v>
      </c>
      <c r="E166" s="62"/>
      <c r="F166" s="62">
        <f>600*62</f>
        <v>37200</v>
      </c>
      <c r="G166" s="62"/>
      <c r="H166" s="62">
        <f>H164</f>
        <v>25110</v>
      </c>
      <c r="I166" s="62"/>
      <c r="J166" s="63">
        <v>1.5</v>
      </c>
      <c r="K166" s="64">
        <f>SUM(C166:I166)</f>
        <v>85560</v>
      </c>
      <c r="L166" s="62">
        <v>18000</v>
      </c>
      <c r="M166" s="65">
        <f t="shared" si="29"/>
        <v>67560</v>
      </c>
      <c r="N166" s="74">
        <v>0.84590163934426221</v>
      </c>
    </row>
    <row r="167" spans="2:14" ht="15.75">
      <c r="B167" s="61"/>
      <c r="C167" s="62"/>
      <c r="D167" s="62"/>
      <c r="E167" s="62"/>
      <c r="F167" s="62"/>
      <c r="G167" s="62"/>
      <c r="H167" s="62"/>
      <c r="I167" s="62"/>
      <c r="J167" s="63"/>
      <c r="K167" s="64"/>
      <c r="L167" s="62"/>
      <c r="M167" s="65"/>
      <c r="N167" s="66"/>
    </row>
    <row r="168" spans="2:14" ht="15">
      <c r="B168" s="61"/>
      <c r="C168" s="61"/>
      <c r="D168" s="61"/>
      <c r="E168" s="61"/>
      <c r="F168" s="61"/>
      <c r="G168" s="61"/>
      <c r="H168" s="61"/>
      <c r="I168" s="61"/>
      <c r="J168" s="61"/>
      <c r="K168" s="61"/>
      <c r="L168" s="61"/>
      <c r="M168" s="61"/>
      <c r="N168" s="61"/>
    </row>
    <row r="169" spans="2:14" ht="15">
      <c r="B169" s="299" t="s">
        <v>65</v>
      </c>
      <c r="C169" s="300" t="s">
        <v>77</v>
      </c>
      <c r="D169" s="300"/>
      <c r="E169" s="300"/>
      <c r="F169" s="300"/>
      <c r="G169" s="300"/>
      <c r="H169" s="300"/>
      <c r="I169" s="300"/>
      <c r="J169" s="301" t="s">
        <v>67</v>
      </c>
      <c r="K169" s="298" t="s">
        <v>68</v>
      </c>
      <c r="L169" s="298" t="s">
        <v>69</v>
      </c>
      <c r="M169" s="298" t="s">
        <v>70</v>
      </c>
      <c r="N169" s="298" t="s">
        <v>71</v>
      </c>
    </row>
    <row r="170" spans="2:14" ht="15">
      <c r="B170" s="299"/>
      <c r="C170" s="73" t="s">
        <v>32</v>
      </c>
      <c r="D170" s="73" t="s">
        <v>33</v>
      </c>
      <c r="E170" s="73" t="s">
        <v>78</v>
      </c>
      <c r="F170" s="73" t="s">
        <v>79</v>
      </c>
      <c r="G170" s="73" t="s">
        <v>7</v>
      </c>
      <c r="H170" s="73" t="s">
        <v>8</v>
      </c>
      <c r="I170" s="73" t="s">
        <v>80</v>
      </c>
      <c r="J170" s="301"/>
      <c r="K170" s="298"/>
      <c r="L170" s="298"/>
      <c r="M170" s="298"/>
      <c r="N170" s="298"/>
    </row>
    <row r="171" spans="2:14" ht="15.75">
      <c r="B171" s="61" t="s">
        <v>81</v>
      </c>
      <c r="C171" s="62">
        <f>'[3]Impacto Pecuária'!C171</f>
        <v>0</v>
      </c>
      <c r="D171" s="62"/>
      <c r="E171" s="62"/>
      <c r="F171" s="62"/>
      <c r="G171" s="62">
        <v>3500</v>
      </c>
      <c r="H171" s="61">
        <v>2500</v>
      </c>
      <c r="I171" s="62">
        <v>7000</v>
      </c>
      <c r="J171" s="62"/>
      <c r="K171" s="64">
        <f>SUM(C171:I171)</f>
        <v>13000</v>
      </c>
      <c r="L171" s="62">
        <v>20000</v>
      </c>
      <c r="M171" s="65">
        <f>K171-L171</f>
        <v>-7000</v>
      </c>
      <c r="N171" s="66">
        <v>1.080777651927511</v>
      </c>
    </row>
    <row r="172" spans="2:14" ht="15.75">
      <c r="B172" s="67" t="s">
        <v>82</v>
      </c>
      <c r="C172" s="68">
        <f>'[3]Impacto Pecuária'!C172</f>
        <v>0</v>
      </c>
      <c r="D172" s="68">
        <f>'[3]Impacto Pecuária'!D172</f>
        <v>0</v>
      </c>
      <c r="E172" s="68"/>
      <c r="F172" s="68"/>
      <c r="G172" s="68">
        <v>3500</v>
      </c>
      <c r="H172" s="68">
        <v>2500</v>
      </c>
      <c r="I172" s="68">
        <v>7000</v>
      </c>
      <c r="J172" s="69"/>
      <c r="K172" s="70">
        <f>SUM(C172:I172)</f>
        <v>13000</v>
      </c>
      <c r="L172" s="68">
        <v>37000</v>
      </c>
      <c r="M172" s="71">
        <f>K172-L172</f>
        <v>-24000</v>
      </c>
      <c r="N172" s="72">
        <v>1.7010214182035521</v>
      </c>
    </row>
    <row r="173" spans="2:14" ht="15.75">
      <c r="B173" s="61" t="s">
        <v>83</v>
      </c>
      <c r="C173" s="62"/>
      <c r="D173" s="62">
        <f>'[3]Impacto Pecuária'!D173</f>
        <v>0</v>
      </c>
      <c r="E173" s="62"/>
      <c r="F173" s="62"/>
      <c r="G173" s="62">
        <v>3500</v>
      </c>
      <c r="H173" s="61">
        <v>2500</v>
      </c>
      <c r="I173" s="62">
        <v>7000</v>
      </c>
      <c r="J173" s="62"/>
      <c r="K173" s="64">
        <f>SUM(C173:I173)</f>
        <v>13000</v>
      </c>
      <c r="L173" s="62">
        <v>19000</v>
      </c>
      <c r="M173" s="65">
        <f>K173-L173</f>
        <v>-6000</v>
      </c>
      <c r="N173" s="66">
        <v>2.2196146570491799</v>
      </c>
    </row>
    <row r="174" spans="2:14" ht="15.75">
      <c r="B174" s="67" t="s">
        <v>84</v>
      </c>
      <c r="C174" s="68"/>
      <c r="D174" s="68"/>
      <c r="E174" s="68">
        <f>[3]Avicultura!F182</f>
        <v>0</v>
      </c>
      <c r="F174" s="68"/>
      <c r="G174" s="68"/>
      <c r="H174" s="68"/>
      <c r="I174" s="68"/>
      <c r="J174" s="69"/>
      <c r="K174" s="70">
        <f>SUM(C174:I174)</f>
        <v>0</v>
      </c>
      <c r="L174" s="68">
        <f>[3]Avicultura!E182+[3]Avicultura!D182</f>
        <v>0</v>
      </c>
      <c r="M174" s="71">
        <f t="shared" ref="M174:M175" si="31">K174-L174</f>
        <v>0</v>
      </c>
      <c r="N174" s="72">
        <v>0.22950819672131151</v>
      </c>
    </row>
    <row r="175" spans="2:14" ht="15.75">
      <c r="B175" s="61" t="s">
        <v>79</v>
      </c>
      <c r="C175" s="62"/>
      <c r="D175" s="62"/>
      <c r="E175" s="62"/>
      <c r="F175" s="62">
        <f>[3]Avicultura!F184</f>
        <v>0</v>
      </c>
      <c r="G175" s="62"/>
      <c r="H175" s="61"/>
      <c r="I175" s="62"/>
      <c r="J175" s="62"/>
      <c r="K175" s="64">
        <f>SUM(C175:I175)</f>
        <v>0</v>
      </c>
      <c r="L175" s="62">
        <f>[3]Avicultura!D184+[3]Avicultura!E184</f>
        <v>0</v>
      </c>
      <c r="M175" s="65">
        <f t="shared" si="31"/>
        <v>0</v>
      </c>
      <c r="N175" s="66">
        <v>0.53688524590163933</v>
      </c>
    </row>
  </sheetData>
  <mergeCells count="19">
    <mergeCell ref="M160:M161"/>
    <mergeCell ref="N160:N161"/>
    <mergeCell ref="B169:B170"/>
    <mergeCell ref="C169:I169"/>
    <mergeCell ref="J169:J170"/>
    <mergeCell ref="K169:K170"/>
    <mergeCell ref="L169:L170"/>
    <mergeCell ref="M169:M170"/>
    <mergeCell ref="N169:N170"/>
    <mergeCell ref="B160:B161"/>
    <mergeCell ref="C160:I160"/>
    <mergeCell ref="J160:J161"/>
    <mergeCell ref="K160:K161"/>
    <mergeCell ref="L160:L161"/>
    <mergeCell ref="D100:F100"/>
    <mergeCell ref="J3:K3"/>
    <mergeCell ref="C50:G50"/>
    <mergeCell ref="C67:G67"/>
    <mergeCell ref="B90:H90"/>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88"/>
  <sheetViews>
    <sheetView showGridLines="0" topLeftCell="F20" zoomScale="83" zoomScaleNormal="83" workbookViewId="0">
      <selection activeCell="B56" sqref="A56:XFD56"/>
    </sheetView>
  </sheetViews>
  <sheetFormatPr defaultColWidth="8.7109375" defaultRowHeight="14.25"/>
  <cols>
    <col min="1" max="1" width="10.140625" style="1" customWidth="1"/>
    <col min="2" max="2" width="24" style="1" customWidth="1"/>
    <col min="3" max="3" width="18.7109375" style="1" bestFit="1" customWidth="1"/>
    <col min="4" max="6" width="19.7109375" style="1" customWidth="1"/>
    <col min="7" max="7" width="20.42578125" style="1" bestFit="1" customWidth="1"/>
    <col min="8" max="8" width="21" style="1" bestFit="1" customWidth="1"/>
    <col min="9" max="9" width="26.140625" style="1" bestFit="1" customWidth="1"/>
    <col min="10" max="10" width="12.28515625" style="1" bestFit="1" customWidth="1"/>
    <col min="11" max="15" width="19.7109375" style="1" customWidth="1"/>
    <col min="16" max="16" width="20.7109375" style="1" customWidth="1"/>
    <col min="17" max="17" width="8.7109375" style="1"/>
    <col min="18" max="22" width="19.7109375" style="1" customWidth="1"/>
    <col min="23" max="23" width="20.7109375" style="1" customWidth="1"/>
    <col min="24" max="24" width="26.140625" style="1" bestFit="1" customWidth="1"/>
    <col min="25" max="25" width="11.28515625" style="1" customWidth="1"/>
    <col min="26" max="16384" width="8.7109375" style="1"/>
  </cols>
  <sheetData>
    <row r="1" spans="1:25" ht="19.899999999999999" customHeight="1">
      <c r="B1" s="302" t="s">
        <v>93</v>
      </c>
      <c r="C1" s="302"/>
      <c r="D1" s="302"/>
      <c r="E1" s="302"/>
      <c r="F1" s="302"/>
      <c r="G1" s="302"/>
      <c r="H1" s="302"/>
      <c r="I1" s="302"/>
    </row>
    <row r="2" spans="1:25" ht="18">
      <c r="D2" s="3" t="s">
        <v>85</v>
      </c>
      <c r="E2" s="3"/>
      <c r="F2" s="2"/>
      <c r="H2" s="22"/>
      <c r="L2" s="3" t="s">
        <v>89</v>
      </c>
      <c r="S2" s="3" t="s">
        <v>90</v>
      </c>
    </row>
    <row r="3" spans="1:25" ht="18">
      <c r="F3" s="115">
        <f>1-E5/F5</f>
        <v>0.26744264390321582</v>
      </c>
      <c r="K3" s="305" t="s">
        <v>86</v>
      </c>
      <c r="L3" s="305"/>
      <c r="M3" s="76">
        <v>8.48E-2</v>
      </c>
      <c r="R3" s="104" t="s">
        <v>132</v>
      </c>
    </row>
    <row r="4" spans="1:25" ht="15">
      <c r="C4" s="5" t="s">
        <v>0</v>
      </c>
      <c r="D4" s="6" t="s">
        <v>1</v>
      </c>
      <c r="E4" s="6" t="s">
        <v>2</v>
      </c>
      <c r="F4" s="6" t="s">
        <v>3</v>
      </c>
      <c r="G4" s="6" t="s">
        <v>4</v>
      </c>
      <c r="H4" s="7" t="s">
        <v>5</v>
      </c>
      <c r="I4" s="7" t="s">
        <v>88</v>
      </c>
      <c r="J4" s="105"/>
      <c r="K4" s="77" t="s">
        <v>39</v>
      </c>
      <c r="L4" s="77" t="s">
        <v>40</v>
      </c>
      <c r="M4" s="77" t="s">
        <v>41</v>
      </c>
      <c r="N4" s="77" t="s">
        <v>42</v>
      </c>
      <c r="O4" s="77" t="s">
        <v>43</v>
      </c>
      <c r="P4" s="77" t="s">
        <v>87</v>
      </c>
      <c r="R4" s="84" t="s">
        <v>39</v>
      </c>
      <c r="S4" s="77" t="s">
        <v>40</v>
      </c>
      <c r="T4" s="77" t="s">
        <v>41</v>
      </c>
      <c r="U4" s="77" t="s">
        <v>42</v>
      </c>
      <c r="V4" s="77" t="s">
        <v>43</v>
      </c>
      <c r="W4" s="77" t="s">
        <v>87</v>
      </c>
      <c r="X4" s="7" t="s">
        <v>88</v>
      </c>
    </row>
    <row r="5" spans="1:25" ht="15">
      <c r="A5" s="1">
        <v>1</v>
      </c>
      <c r="B5" s="93" t="s">
        <v>6</v>
      </c>
      <c r="C5" s="9">
        <v>1858301</v>
      </c>
      <c r="D5" s="9">
        <f>C5*1.05</f>
        <v>1951216.05</v>
      </c>
      <c r="E5" s="9">
        <v>1794000</v>
      </c>
      <c r="F5" s="9">
        <v>2448955</v>
      </c>
      <c r="G5" s="9">
        <v>1974000</v>
      </c>
      <c r="H5" s="10">
        <f>SUM(C5:G5)</f>
        <v>10026472.050000001</v>
      </c>
      <c r="I5" s="83">
        <f>((D5/C5-1)+(E5/D5-1)+(F5/E5-1)+(G5/F5-1))/4</f>
        <v>3.5141387636613508E-2</v>
      </c>
      <c r="J5" s="106"/>
      <c r="K5" s="11">
        <f>G5+G5*I5</f>
        <v>2043369.099194675</v>
      </c>
      <c r="L5" s="11">
        <f>K5+K5*I5</f>
        <v>2115175.9247941528</v>
      </c>
      <c r="M5" s="11">
        <f>L5+L5*J5</f>
        <v>2115175.9247941528</v>
      </c>
      <c r="N5" s="11">
        <f>M5+M5*I5</f>
        <v>2189506.1418869765</v>
      </c>
      <c r="O5" s="11">
        <f>N5+N5*I5</f>
        <v>2266448.4259517728</v>
      </c>
      <c r="P5" s="11">
        <f>SUM(K5:O5)</f>
        <v>10729675.516621729</v>
      </c>
      <c r="R5" s="11">
        <f>K5</f>
        <v>2043369.099194675</v>
      </c>
      <c r="S5" s="11">
        <f t="shared" ref="S5:V5" si="0">D153</f>
        <v>2501467.1700000004</v>
      </c>
      <c r="T5" s="11">
        <f t="shared" si="0"/>
        <v>2752776.5100000007</v>
      </c>
      <c r="U5" s="11">
        <f t="shared" si="0"/>
        <v>3291758.74</v>
      </c>
      <c r="V5" s="11">
        <f t="shared" si="0"/>
        <v>3589272.75</v>
      </c>
      <c r="W5" s="11">
        <f>SUM(R5:V5)</f>
        <v>14178644.269194677</v>
      </c>
      <c r="X5" s="83">
        <f>((S5/R5-1)+(T5/S5-1)+(U5/T5-1)+(V5/U5-1))/4</f>
        <v>0.15270743347080262</v>
      </c>
      <c r="Y5" s="85">
        <f>1-H5/W5</f>
        <v>0.29284691401814211</v>
      </c>
    </row>
    <row r="6" spans="1:25" ht="15">
      <c r="A6" s="1">
        <f>A5+1</f>
        <v>2</v>
      </c>
      <c r="B6" s="93" t="s">
        <v>7</v>
      </c>
      <c r="C6" s="9">
        <v>235318</v>
      </c>
      <c r="D6" s="9">
        <v>222430</v>
      </c>
      <c r="E6" s="9">
        <v>240000</v>
      </c>
      <c r="F6" s="9">
        <v>262669</v>
      </c>
      <c r="G6" s="9">
        <v>270500</v>
      </c>
      <c r="H6" s="10">
        <f t="shared" ref="H6:H36" si="1">SUM(C6:G6)</f>
        <v>1230917</v>
      </c>
      <c r="I6" s="83">
        <f t="shared" ref="I6:I33" si="2">((D6/C6-1)+(E6/D6-1)+(F6/E6-1)+(G6/F6-1))/4</f>
        <v>3.7122513970788834E-2</v>
      </c>
      <c r="J6" s="106"/>
      <c r="K6" s="11">
        <f t="shared" ref="K6:K36" si="3">G6+G6*I6</f>
        <v>280541.64002909837</v>
      </c>
      <c r="L6" s="11">
        <f>K6+K6*I6</f>
        <v>290956.05098046659</v>
      </c>
      <c r="M6" s="11">
        <f>L6+L6*J6</f>
        <v>290956.05098046659</v>
      </c>
      <c r="N6" s="11">
        <f t="shared" ref="N6:N32" si="4">M6+M6*I6</f>
        <v>301757.07104787452</v>
      </c>
      <c r="O6" s="11">
        <f t="shared" ref="O6:O32" si="5">N6+N6*I6</f>
        <v>312959.05213363358</v>
      </c>
      <c r="P6" s="11">
        <f t="shared" ref="P6:P36" si="6">SUM(K6:O6)</f>
        <v>1477169.8651715398</v>
      </c>
      <c r="R6" s="11">
        <f t="shared" ref="R6:R38" si="7">K6</f>
        <v>280541.64002909837</v>
      </c>
      <c r="S6" s="11">
        <f t="shared" ref="S6:S33" si="8">L6</f>
        <v>290956.05098046659</v>
      </c>
      <c r="T6" s="11">
        <f t="shared" ref="T6:T33" si="9">M6</f>
        <v>290956.05098046659</v>
      </c>
      <c r="U6" s="11">
        <f t="shared" ref="U6:U33" si="10">N6</f>
        <v>301757.07104787452</v>
      </c>
      <c r="V6" s="11">
        <f t="shared" ref="V6:V33" si="11">O6</f>
        <v>312959.05213363358</v>
      </c>
      <c r="W6" s="11">
        <f t="shared" ref="W6:W33" si="12">SUM(R6:V6)</f>
        <v>1477169.8651715398</v>
      </c>
      <c r="X6" s="83">
        <f t="shared" ref="X6:X45" si="13">((S6/R6-1)+(T6/S6-1)+(U6/T6-1)+(V6/U6-1))/4</f>
        <v>2.7841885478091688E-2</v>
      </c>
      <c r="Y6" s="85">
        <f t="shared" ref="Y6:Y33" si="14">1-H6/W6</f>
        <v>0.16670585487671263</v>
      </c>
    </row>
    <row r="7" spans="1:25" ht="15">
      <c r="A7" s="1">
        <f t="shared" ref="A7:A38" si="15">A6+1</f>
        <v>3</v>
      </c>
      <c r="B7" s="93" t="s">
        <v>8</v>
      </c>
      <c r="C7" s="9">
        <v>32558</v>
      </c>
      <c r="D7" s="9">
        <v>33500</v>
      </c>
      <c r="E7" s="9">
        <v>34000</v>
      </c>
      <c r="F7" s="9">
        <v>36156</v>
      </c>
      <c r="G7" s="9">
        <v>36900</v>
      </c>
      <c r="H7" s="10">
        <f t="shared" si="1"/>
        <v>173114</v>
      </c>
      <c r="I7" s="83">
        <f t="shared" si="2"/>
        <v>3.1961904123086249E-2</v>
      </c>
      <c r="J7" s="106"/>
      <c r="K7" s="11">
        <f t="shared" si="3"/>
        <v>38079.394262141883</v>
      </c>
      <c r="L7" s="11">
        <f>K7+K7*I7</f>
        <v>39296.484210613664</v>
      </c>
      <c r="M7" s="11">
        <f t="shared" ref="M7:M32" si="16">L7+L7*J7</f>
        <v>39296.484210613664</v>
      </c>
      <c r="N7" s="11">
        <f t="shared" si="4"/>
        <v>40552.474671327669</v>
      </c>
      <c r="O7" s="11">
        <f t="shared" si="5"/>
        <v>41848.60897872653</v>
      </c>
      <c r="P7" s="11">
        <f t="shared" si="6"/>
        <v>199073.4463334234</v>
      </c>
      <c r="R7" s="11">
        <f t="shared" si="7"/>
        <v>38079.394262141883</v>
      </c>
      <c r="S7" s="11">
        <f t="shared" si="8"/>
        <v>39296.484210613664</v>
      </c>
      <c r="T7" s="11">
        <f t="shared" si="9"/>
        <v>39296.484210613664</v>
      </c>
      <c r="U7" s="11">
        <f t="shared" si="10"/>
        <v>40552.474671327669</v>
      </c>
      <c r="V7" s="11">
        <f t="shared" si="11"/>
        <v>41848.60897872653</v>
      </c>
      <c r="W7" s="11">
        <f t="shared" si="12"/>
        <v>199073.4463334234</v>
      </c>
      <c r="X7" s="83">
        <f t="shared" si="13"/>
        <v>2.3971428092314728E-2</v>
      </c>
      <c r="Y7" s="85">
        <f t="shared" si="14"/>
        <v>0.13040135091620675</v>
      </c>
    </row>
    <row r="8" spans="1:25" ht="15">
      <c r="A8" s="1">
        <f t="shared" si="15"/>
        <v>4</v>
      </c>
      <c r="B8" s="93" t="s">
        <v>9</v>
      </c>
      <c r="C8" s="9">
        <v>20710</v>
      </c>
      <c r="D8" s="9">
        <v>20580</v>
      </c>
      <c r="E8" s="9">
        <v>17088</v>
      </c>
      <c r="F8" s="9">
        <v>13370</v>
      </c>
      <c r="G8" s="9">
        <v>13400</v>
      </c>
      <c r="H8" s="10">
        <f t="shared" si="1"/>
        <v>85148</v>
      </c>
      <c r="I8" s="83">
        <f t="shared" si="2"/>
        <v>-9.782305490736351E-2</v>
      </c>
      <c r="J8" s="106"/>
      <c r="K8" s="11">
        <f t="shared" si="3"/>
        <v>12089.171064241329</v>
      </c>
      <c r="L8" s="11">
        <f>K8+K8*I8</f>
        <v>10906.571419439539</v>
      </c>
      <c r="M8" s="11">
        <f t="shared" si="16"/>
        <v>10906.571419439539</v>
      </c>
      <c r="N8" s="11">
        <f t="shared" si="4"/>
        <v>9839.6572846246236</v>
      </c>
      <c r="O8" s="11">
        <f t="shared" si="5"/>
        <v>8877.1119498011503</v>
      </c>
      <c r="P8" s="11">
        <f t="shared" si="6"/>
        <v>52619.083137546186</v>
      </c>
      <c r="R8" s="11">
        <f t="shared" si="7"/>
        <v>12089.171064241329</v>
      </c>
      <c r="S8" s="11">
        <f t="shared" si="8"/>
        <v>10906.571419439539</v>
      </c>
      <c r="T8" s="11">
        <f t="shared" si="9"/>
        <v>10906.571419439539</v>
      </c>
      <c r="U8" s="11">
        <f t="shared" si="10"/>
        <v>9839.6572846246236</v>
      </c>
      <c r="V8" s="11">
        <f t="shared" si="11"/>
        <v>8877.1119498011503</v>
      </c>
      <c r="W8" s="11">
        <f t="shared" si="12"/>
        <v>52619.083137546186</v>
      </c>
      <c r="X8" s="83">
        <f t="shared" si="13"/>
        <v>-7.3367291180522598E-2</v>
      </c>
      <c r="Y8" s="85">
        <f t="shared" si="14"/>
        <v>-0.61819619276571736</v>
      </c>
    </row>
    <row r="9" spans="1:25" ht="15">
      <c r="A9" s="1">
        <f t="shared" si="15"/>
        <v>5</v>
      </c>
      <c r="B9" s="93" t="s">
        <v>10</v>
      </c>
      <c r="C9" s="9">
        <v>383162</v>
      </c>
      <c r="D9" s="9">
        <v>357305</v>
      </c>
      <c r="E9" s="9">
        <v>331410</v>
      </c>
      <c r="F9" s="9">
        <v>412552</v>
      </c>
      <c r="G9" s="9">
        <v>340800</v>
      </c>
      <c r="H9" s="10">
        <f t="shared" si="1"/>
        <v>1825229</v>
      </c>
      <c r="I9" s="83">
        <f t="shared" si="2"/>
        <v>-1.7259975252854026E-2</v>
      </c>
      <c r="J9" s="106"/>
      <c r="K9" s="11">
        <f>G9+G9*2.4%</f>
        <v>348979.20000000001</v>
      </c>
      <c r="L9" s="11">
        <f>K9+K9*I9</f>
        <v>342955.82764423924</v>
      </c>
      <c r="M9" s="11">
        <f t="shared" si="16"/>
        <v>342955.82764423924</v>
      </c>
      <c r="N9" s="11">
        <f t="shared" si="4"/>
        <v>337036.41854627762</v>
      </c>
      <c r="O9" s="11">
        <f t="shared" si="5"/>
        <v>331219.17830285832</v>
      </c>
      <c r="P9" s="11">
        <f t="shared" si="6"/>
        <v>1703146.4521376144</v>
      </c>
      <c r="R9" s="11">
        <f t="shared" si="7"/>
        <v>348979.20000000001</v>
      </c>
      <c r="S9" s="11">
        <f t="shared" ref="S9:V9" si="17">D152</f>
        <v>840674.90833333344</v>
      </c>
      <c r="T9" s="11">
        <f t="shared" si="17"/>
        <v>1154507.5333333334</v>
      </c>
      <c r="U9" s="11">
        <f t="shared" si="17"/>
        <v>1418288.6500000001</v>
      </c>
      <c r="V9" s="11">
        <f t="shared" si="17"/>
        <v>1597843.0250000001</v>
      </c>
      <c r="W9" s="11">
        <f t="shared" si="12"/>
        <v>5360293.3166666673</v>
      </c>
      <c r="X9" s="83">
        <f t="shared" si="13"/>
        <v>0.53433579469565873</v>
      </c>
      <c r="Y9" s="85">
        <f t="shared" si="14"/>
        <v>0.65949083526365115</v>
      </c>
    </row>
    <row r="10" spans="1:25" ht="15">
      <c r="B10" s="93"/>
      <c r="C10" s="9"/>
      <c r="D10" s="9"/>
      <c r="E10" s="9"/>
      <c r="F10" s="9"/>
      <c r="G10" s="9"/>
      <c r="H10" s="10"/>
      <c r="I10" s="83"/>
      <c r="J10" s="106"/>
      <c r="K10" s="11"/>
      <c r="L10" s="11"/>
      <c r="M10" s="11"/>
      <c r="N10" s="11"/>
      <c r="O10" s="11"/>
      <c r="P10" s="11"/>
      <c r="R10" s="11">
        <f t="shared" si="7"/>
        <v>0</v>
      </c>
      <c r="S10" s="11"/>
      <c r="T10" s="11"/>
      <c r="U10" s="11"/>
      <c r="V10" s="11"/>
      <c r="W10" s="11"/>
      <c r="X10" s="83"/>
      <c r="Y10" s="85"/>
    </row>
    <row r="11" spans="1:25" ht="15.75">
      <c r="A11" s="1">
        <f>A9+1</f>
        <v>6</v>
      </c>
      <c r="B11" s="93" t="s">
        <v>91</v>
      </c>
      <c r="C11" s="9">
        <v>440129</v>
      </c>
      <c r="D11" s="9">
        <v>402317</v>
      </c>
      <c r="E11" s="9">
        <v>404384</v>
      </c>
      <c r="F11" s="9">
        <v>484215</v>
      </c>
      <c r="G11" s="9">
        <v>482200</v>
      </c>
      <c r="H11" s="10">
        <f t="shared" si="1"/>
        <v>2213245</v>
      </c>
      <c r="I11" s="83">
        <f t="shared" si="2"/>
        <v>2.8119758318096849E-2</v>
      </c>
      <c r="J11" s="106"/>
      <c r="K11" s="11">
        <f>G11+G11*I11</f>
        <v>495759.34746098629</v>
      </c>
      <c r="L11" s="11">
        <f>K11+K11*I11</f>
        <v>509699.98049552663</v>
      </c>
      <c r="M11" s="11">
        <f t="shared" si="16"/>
        <v>509699.98049552663</v>
      </c>
      <c r="N11" s="11">
        <f t="shared" si="4"/>
        <v>524032.62076179951</v>
      </c>
      <c r="O11" s="11">
        <f t="shared" si="5"/>
        <v>538768.29140842019</v>
      </c>
      <c r="P11" s="11">
        <f t="shared" si="6"/>
        <v>2577960.2206222592</v>
      </c>
      <c r="R11" s="11">
        <f t="shared" si="7"/>
        <v>495759.34746098629</v>
      </c>
      <c r="S11" s="11">
        <f t="shared" ref="S11:V11" si="18">D154</f>
        <v>638616.26600000006</v>
      </c>
      <c r="T11" s="11">
        <f t="shared" si="18"/>
        <v>1057794.7646666667</v>
      </c>
      <c r="U11" s="11">
        <f t="shared" si="18"/>
        <v>1322665.5560000001</v>
      </c>
      <c r="V11" s="11">
        <f t="shared" si="18"/>
        <v>1322665.5560000001</v>
      </c>
      <c r="W11" s="11">
        <f t="shared" si="12"/>
        <v>4837501.4901276529</v>
      </c>
      <c r="X11" s="83">
        <f t="shared" si="13"/>
        <v>0.2987355985560054</v>
      </c>
      <c r="Y11" s="85">
        <f t="shared" si="14"/>
        <v>0.54248179467917923</v>
      </c>
    </row>
    <row r="12" spans="1:25" ht="15">
      <c r="A12" s="1">
        <f t="shared" si="15"/>
        <v>7</v>
      </c>
      <c r="B12" s="93" t="s">
        <v>16</v>
      </c>
      <c r="C12" s="9">
        <v>54010</v>
      </c>
      <c r="D12" s="9">
        <v>33540</v>
      </c>
      <c r="E12" s="9">
        <v>35430</v>
      </c>
      <c r="F12" s="9">
        <v>46157</v>
      </c>
      <c r="G12" s="9">
        <v>48500</v>
      </c>
      <c r="H12" s="10">
        <f>SUM(C12:G12)</f>
        <v>217637</v>
      </c>
      <c r="I12" s="83">
        <f>((D12/C12-1)+(E12/D12-1)+(F12/E12-1)+(G12/F12-1))/4</f>
        <v>7.718571685966541E-3</v>
      </c>
      <c r="J12" s="106"/>
      <c r="K12" s="11">
        <f>G12+G12*I12</f>
        <v>48874.350726769379</v>
      </c>
      <c r="L12" s="11">
        <f>K12+K12*I12</f>
        <v>49251.590906459016</v>
      </c>
      <c r="M12" s="11">
        <f>L12+L12*J12</f>
        <v>49251.590906459016</v>
      </c>
      <c r="N12" s="11">
        <f>M12+M12*I12</f>
        <v>49631.742841518419</v>
      </c>
      <c r="O12" s="11">
        <f>N12+N12*I12</f>
        <v>50014.829006540138</v>
      </c>
      <c r="P12" s="11">
        <f>SUM(K12:O12)</f>
        <v>247024.10438774596</v>
      </c>
      <c r="R12" s="11">
        <f t="shared" si="7"/>
        <v>48874.350726769379</v>
      </c>
      <c r="S12" s="11">
        <f>D155</f>
        <v>140250</v>
      </c>
      <c r="T12" s="11">
        <f>E155</f>
        <v>445500</v>
      </c>
      <c r="U12" s="11">
        <f>F155</f>
        <v>660000</v>
      </c>
      <c r="V12" s="11">
        <f>G155</f>
        <v>660000</v>
      </c>
      <c r="W12" s="11">
        <f>SUM(R12:V12)</f>
        <v>1954624.3507267693</v>
      </c>
      <c r="X12" s="83">
        <f>((S12/R12-1)+(T12/S12-1)+(U12/T12-1)+(V12/U12-1))/4</f>
        <v>1.1318888519899613</v>
      </c>
      <c r="Y12" s="85">
        <f>1-H12/W12</f>
        <v>0.8886553316911876</v>
      </c>
    </row>
    <row r="13" spans="1:25" ht="15">
      <c r="A13" s="1">
        <f t="shared" si="15"/>
        <v>8</v>
      </c>
      <c r="B13" s="8" t="s">
        <v>12</v>
      </c>
      <c r="C13" s="9">
        <v>277390</v>
      </c>
      <c r="D13" s="9">
        <v>253384</v>
      </c>
      <c r="E13" s="9">
        <v>251616</v>
      </c>
      <c r="F13" s="9">
        <v>348178</v>
      </c>
      <c r="G13" s="9">
        <v>343300</v>
      </c>
      <c r="H13" s="10">
        <f t="shared" si="1"/>
        <v>1473868</v>
      </c>
      <c r="I13" s="83">
        <f t="shared" si="2"/>
        <v>6.9059321904665683E-2</v>
      </c>
      <c r="J13" s="106"/>
      <c r="K13" s="11">
        <f t="shared" si="3"/>
        <v>367008.06520987174</v>
      </c>
      <c r="L13" s="11">
        <f>K13+K13*I13</f>
        <v>392353.39332680881</v>
      </c>
      <c r="M13" s="11">
        <f t="shared" si="16"/>
        <v>392353.39332680881</v>
      </c>
      <c r="N13" s="11">
        <f t="shared" si="4"/>
        <v>419449.0526169528</v>
      </c>
      <c r="O13" s="11">
        <f t="shared" si="5"/>
        <v>448415.91976423399</v>
      </c>
      <c r="P13" s="11">
        <f t="shared" si="6"/>
        <v>2019579.8242446764</v>
      </c>
      <c r="R13" s="11">
        <f t="shared" si="7"/>
        <v>367008.06520987174</v>
      </c>
      <c r="S13" s="11">
        <f t="shared" si="8"/>
        <v>392353.39332680881</v>
      </c>
      <c r="T13" s="11">
        <f t="shared" si="9"/>
        <v>392353.39332680881</v>
      </c>
      <c r="U13" s="11">
        <f t="shared" si="10"/>
        <v>419449.0526169528</v>
      </c>
      <c r="V13" s="11">
        <f t="shared" si="11"/>
        <v>448415.91976423399</v>
      </c>
      <c r="W13" s="11">
        <f t="shared" si="12"/>
        <v>2019579.8242446764</v>
      </c>
      <c r="X13" s="83">
        <f t="shared" si="13"/>
        <v>5.1794491428499234E-2</v>
      </c>
      <c r="Y13" s="85">
        <f t="shared" si="14"/>
        <v>0.27021057434497442</v>
      </c>
    </row>
    <row r="14" spans="1:25" ht="15">
      <c r="B14" s="8"/>
      <c r="C14" s="9"/>
      <c r="D14" s="9"/>
      <c r="E14" s="9"/>
      <c r="F14" s="9"/>
      <c r="G14" s="9"/>
      <c r="H14" s="10"/>
      <c r="I14" s="83"/>
      <c r="J14" s="106"/>
      <c r="K14" s="11"/>
      <c r="L14" s="11"/>
      <c r="M14" s="11"/>
      <c r="N14" s="11"/>
      <c r="O14" s="11"/>
      <c r="P14" s="11"/>
      <c r="R14" s="11">
        <f t="shared" si="7"/>
        <v>0</v>
      </c>
      <c r="S14" s="11"/>
      <c r="T14" s="11"/>
      <c r="U14" s="11"/>
      <c r="V14" s="11"/>
      <c r="W14" s="11"/>
      <c r="X14" s="83"/>
      <c r="Y14" s="85"/>
    </row>
    <row r="15" spans="1:25" ht="15">
      <c r="A15" s="1">
        <f>A13+1</f>
        <v>9</v>
      </c>
      <c r="B15" s="8" t="s">
        <v>13</v>
      </c>
      <c r="C15" s="9">
        <v>7928552</v>
      </c>
      <c r="D15" s="9">
        <v>8102540</v>
      </c>
      <c r="E15" s="9">
        <v>9100000</v>
      </c>
      <c r="F15" s="9">
        <v>12706250</v>
      </c>
      <c r="G15" s="9">
        <f>14485000</f>
        <v>14485000</v>
      </c>
      <c r="H15" s="10">
        <f t="shared" si="1"/>
        <v>52322342</v>
      </c>
      <c r="I15" s="83">
        <f t="shared" si="2"/>
        <v>0.17033261600569655</v>
      </c>
      <c r="J15" s="106"/>
      <c r="K15" s="11">
        <f>G15+G15*2%</f>
        <v>14774700</v>
      </c>
      <c r="L15" s="11">
        <f>K15+K15*2%</f>
        <v>15070194</v>
      </c>
      <c r="M15" s="11">
        <f>L15+L15*2%</f>
        <v>15371597.880000001</v>
      </c>
      <c r="N15" s="11">
        <f>M15+M15*1%</f>
        <v>15525313.858800001</v>
      </c>
      <c r="O15" s="11">
        <f>N15+N15*1%</f>
        <v>15680566.997388002</v>
      </c>
      <c r="P15" s="11">
        <f t="shared" si="6"/>
        <v>76422372.736188009</v>
      </c>
      <c r="R15" s="11">
        <f t="shared" si="7"/>
        <v>14774700</v>
      </c>
      <c r="S15" s="11">
        <f t="shared" si="8"/>
        <v>15070194</v>
      </c>
      <c r="T15" s="11">
        <f t="shared" si="9"/>
        <v>15371597.880000001</v>
      </c>
      <c r="U15" s="11">
        <f t="shared" si="10"/>
        <v>15525313.858800001</v>
      </c>
      <c r="V15" s="11">
        <f t="shared" si="11"/>
        <v>15680566.997388002</v>
      </c>
      <c r="W15" s="11">
        <f t="shared" si="12"/>
        <v>76422372.736188009</v>
      </c>
      <c r="X15" s="83">
        <f t="shared" si="13"/>
        <v>1.5000000000000013E-2</v>
      </c>
      <c r="Y15" s="85">
        <f t="shared" si="14"/>
        <v>0.3153530814776182</v>
      </c>
    </row>
    <row r="16" spans="1:25" ht="15">
      <c r="A16" s="1">
        <f t="shared" si="15"/>
        <v>10</v>
      </c>
      <c r="B16" s="8" t="s">
        <v>14</v>
      </c>
      <c r="C16" s="9">
        <v>1567185</v>
      </c>
      <c r="D16" s="9">
        <v>1680000</v>
      </c>
      <c r="E16" s="9">
        <v>1601996</v>
      </c>
      <c r="F16" s="9">
        <v>2214450</v>
      </c>
      <c r="G16" s="9">
        <v>2436000</v>
      </c>
      <c r="H16" s="10">
        <f t="shared" si="1"/>
        <v>9499631</v>
      </c>
      <c r="I16" s="83">
        <f t="shared" si="2"/>
        <v>0.12697726089967395</v>
      </c>
      <c r="J16" s="106"/>
      <c r="K16" s="11">
        <f>G16+G16*2%</f>
        <v>2484720</v>
      </c>
      <c r="L16" s="11">
        <f>K16+K16*2%</f>
        <v>2534414.4</v>
      </c>
      <c r="M16" s="11">
        <f>L16+L16*2%</f>
        <v>2585102.6880000001</v>
      </c>
      <c r="N16" s="11">
        <f>M16+M16*1%</f>
        <v>2610953.7148799999</v>
      </c>
      <c r="O16" s="11">
        <f>N16+N16*1%</f>
        <v>2637063.2520288001</v>
      </c>
      <c r="P16" s="11">
        <f t="shared" si="6"/>
        <v>12852254.054908801</v>
      </c>
      <c r="R16" s="11">
        <f t="shared" si="7"/>
        <v>2484720</v>
      </c>
      <c r="S16" s="11">
        <f t="shared" si="8"/>
        <v>2534414.4</v>
      </c>
      <c r="T16" s="11">
        <f t="shared" si="9"/>
        <v>2585102.6880000001</v>
      </c>
      <c r="U16" s="11">
        <f t="shared" si="10"/>
        <v>2610953.7148799999</v>
      </c>
      <c r="V16" s="11">
        <f t="shared" si="11"/>
        <v>2637063.2520288001</v>
      </c>
      <c r="W16" s="11">
        <f t="shared" si="12"/>
        <v>12852254.054908801</v>
      </c>
      <c r="X16" s="83">
        <f t="shared" si="13"/>
        <v>1.5000000000000013E-2</v>
      </c>
      <c r="Y16" s="85">
        <f t="shared" si="14"/>
        <v>0.26085875991754903</v>
      </c>
    </row>
    <row r="17" spans="1:25" ht="15">
      <c r="B17" s="8"/>
      <c r="C17" s="9"/>
      <c r="D17" s="9"/>
      <c r="E17" s="9"/>
      <c r="F17" s="9"/>
      <c r="G17" s="9"/>
      <c r="H17" s="10"/>
      <c r="I17" s="83"/>
      <c r="J17" s="106"/>
      <c r="K17" s="11"/>
      <c r="L17" s="11"/>
      <c r="M17" s="11"/>
      <c r="N17" s="11"/>
      <c r="O17" s="11"/>
      <c r="P17" s="11"/>
      <c r="R17" s="11">
        <f t="shared" si="7"/>
        <v>0</v>
      </c>
      <c r="S17" s="11"/>
      <c r="T17" s="11"/>
      <c r="U17" s="11"/>
      <c r="V17" s="11"/>
      <c r="W17" s="11"/>
      <c r="X17" s="83"/>
      <c r="Y17" s="85"/>
    </row>
    <row r="18" spans="1:25" ht="15">
      <c r="A18" s="1">
        <f>A16+1</f>
        <v>11</v>
      </c>
      <c r="B18" s="8" t="s">
        <v>15</v>
      </c>
      <c r="C18" s="12">
        <v>48930</v>
      </c>
      <c r="D18" s="12">
        <f>C18*1.05</f>
        <v>51376.5</v>
      </c>
      <c r="E18" s="12">
        <f t="shared" ref="E18" si="19">D18*1.05</f>
        <v>53945.325000000004</v>
      </c>
      <c r="F18" s="12">
        <v>94668</v>
      </c>
      <c r="G18" s="12">
        <v>111700</v>
      </c>
      <c r="H18" s="10">
        <f t="shared" si="1"/>
        <v>360619.82500000001</v>
      </c>
      <c r="I18" s="83">
        <f t="shared" si="2"/>
        <v>0.2587002235294637</v>
      </c>
      <c r="J18" s="106"/>
      <c r="K18" s="11">
        <f>G18+G18*6%</f>
        <v>118402</v>
      </c>
      <c r="L18" s="11">
        <f>K18+K18*6%</f>
        <v>125506.12</v>
      </c>
      <c r="M18" s="11">
        <f>L18+L18*6%</f>
        <v>133036.4872</v>
      </c>
      <c r="N18" s="11">
        <f>M18+M18*6%</f>
        <v>141018.67643200001</v>
      </c>
      <c r="O18" s="11">
        <f>N18+N18*6%</f>
        <v>149479.79701792001</v>
      </c>
      <c r="P18" s="11">
        <f t="shared" si="6"/>
        <v>667443.08064992004</v>
      </c>
      <c r="R18" s="11">
        <f t="shared" si="7"/>
        <v>118402</v>
      </c>
      <c r="S18" s="11">
        <f t="shared" ref="S18:V18" si="20">D156</f>
        <v>140294.11764705883</v>
      </c>
      <c r="T18" s="11">
        <f t="shared" si="20"/>
        <v>230588.23529411765</v>
      </c>
      <c r="U18" s="11">
        <f t="shared" si="20"/>
        <v>264700</v>
      </c>
      <c r="V18" s="11">
        <f t="shared" si="20"/>
        <v>266800</v>
      </c>
      <c r="W18" s="11">
        <f t="shared" si="12"/>
        <v>1020784.3529411765</v>
      </c>
      <c r="X18" s="83">
        <f t="shared" si="13"/>
        <v>0.24609239304030922</v>
      </c>
      <c r="Y18" s="85">
        <f t="shared" si="14"/>
        <v>0.64672281274595411</v>
      </c>
    </row>
    <row r="19" spans="1:25" ht="15">
      <c r="A19" s="1">
        <v>12</v>
      </c>
      <c r="B19" s="8" t="s">
        <v>17</v>
      </c>
      <c r="C19" s="22">
        <v>110891</v>
      </c>
      <c r="D19" s="22">
        <v>8250</v>
      </c>
      <c r="E19" s="22">
        <v>9000</v>
      </c>
      <c r="F19" s="22">
        <v>13770</v>
      </c>
      <c r="G19" s="22">
        <v>15600</v>
      </c>
      <c r="H19" s="10">
        <f t="shared" si="1"/>
        <v>157511</v>
      </c>
      <c r="I19" s="83">
        <f t="shared" si="2"/>
        <v>-4.2948981098222289E-2</v>
      </c>
      <c r="J19" s="106"/>
      <c r="K19" s="11">
        <f t="shared" ref="K19" si="21">G19+G19*I19</f>
        <v>14929.995894867732</v>
      </c>
      <c r="L19" s="11">
        <f>K19+K19*I19</f>
        <v>14288.767783382522</v>
      </c>
      <c r="M19" s="11">
        <f t="shared" ref="M19" si="22">L19+L19*J19</f>
        <v>14288.767783382522</v>
      </c>
      <c r="N19" s="11">
        <f t="shared" ref="N19" si="23">M19+M19*I19</f>
        <v>13675.079765937138</v>
      </c>
      <c r="O19" s="11">
        <f t="shared" ref="O19" si="24">N19+N19*I19</f>
        <v>13087.749023553222</v>
      </c>
      <c r="P19" s="11">
        <f t="shared" si="6"/>
        <v>70270.360251123129</v>
      </c>
      <c r="R19" s="11">
        <f t="shared" si="7"/>
        <v>14929.995894867732</v>
      </c>
      <c r="S19" s="11">
        <f t="shared" ref="S19" si="25">D157</f>
        <v>166544.11764705885</v>
      </c>
      <c r="T19" s="11">
        <f t="shared" ref="T19" si="26">E157</f>
        <v>527247.05882352951</v>
      </c>
      <c r="U19" s="11">
        <f t="shared" ref="U19" si="27">F157</f>
        <v>719400</v>
      </c>
      <c r="V19" s="11">
        <f t="shared" ref="V19" si="28">G157</f>
        <v>754800</v>
      </c>
      <c r="W19" s="11">
        <f t="shared" ref="W19" si="29">SUM(R19:V19)</f>
        <v>2182921.1723654559</v>
      </c>
      <c r="X19" s="83">
        <f t="shared" si="13"/>
        <v>3.1836161153603078</v>
      </c>
      <c r="Y19" s="85"/>
    </row>
    <row r="20" spans="1:25" ht="15">
      <c r="B20" s="8"/>
      <c r="C20" s="9"/>
      <c r="D20" s="9"/>
      <c r="E20" s="9"/>
      <c r="F20" s="9"/>
      <c r="G20" s="9"/>
      <c r="H20" s="10"/>
      <c r="I20" s="83"/>
      <c r="J20" s="106"/>
      <c r="K20" s="11"/>
      <c r="L20" s="11"/>
      <c r="M20" s="11"/>
      <c r="N20" s="11"/>
      <c r="O20" s="11"/>
      <c r="P20" s="11"/>
      <c r="R20" s="11">
        <f t="shared" si="7"/>
        <v>0</v>
      </c>
      <c r="S20" s="11"/>
      <c r="T20" s="11"/>
      <c r="U20" s="11"/>
      <c r="V20" s="11"/>
      <c r="W20" s="11"/>
      <c r="X20" s="83"/>
      <c r="Y20" s="85"/>
    </row>
    <row r="21" spans="1:25" ht="15">
      <c r="A21" s="1">
        <f>A19+1</f>
        <v>13</v>
      </c>
      <c r="B21" s="8" t="s">
        <v>18</v>
      </c>
      <c r="C21" s="9">
        <v>300000</v>
      </c>
      <c r="D21" s="9">
        <v>360000</v>
      </c>
      <c r="E21" s="9">
        <v>424000</v>
      </c>
      <c r="F21" s="9">
        <v>473000</v>
      </c>
      <c r="G21" s="9">
        <v>544000</v>
      </c>
      <c r="H21" s="10">
        <f t="shared" si="1"/>
        <v>2101000</v>
      </c>
      <c r="I21" s="83">
        <f t="shared" si="2"/>
        <v>0.16086238093971744</v>
      </c>
      <c r="J21" s="106"/>
      <c r="K21" s="11">
        <f t="shared" si="3"/>
        <v>631509.13523120631</v>
      </c>
      <c r="L21" s="11">
        <f>K21+K21*I21</f>
        <v>733095.19830968021</v>
      </c>
      <c r="M21" s="11">
        <f t="shared" si="16"/>
        <v>733095.19830968021</v>
      </c>
      <c r="N21" s="11">
        <f t="shared" si="4"/>
        <v>851022.63736524968</v>
      </c>
      <c r="O21" s="11">
        <f t="shared" si="5"/>
        <v>987920.16504542145</v>
      </c>
      <c r="P21" s="11">
        <f t="shared" si="6"/>
        <v>3936642.3342612386</v>
      </c>
      <c r="R21" s="11">
        <f t="shared" si="7"/>
        <v>631509.13523120631</v>
      </c>
      <c r="S21" s="11">
        <f t="shared" si="8"/>
        <v>733095.19830968021</v>
      </c>
      <c r="T21" s="11">
        <f t="shared" si="9"/>
        <v>733095.19830968021</v>
      </c>
      <c r="U21" s="11">
        <f t="shared" si="10"/>
        <v>851022.63736524968</v>
      </c>
      <c r="V21" s="11">
        <f t="shared" si="11"/>
        <v>987920.16504542145</v>
      </c>
      <c r="W21" s="11">
        <f t="shared" si="12"/>
        <v>3936642.3342612386</v>
      </c>
      <c r="X21" s="83">
        <f t="shared" si="13"/>
        <v>0.1206467857047881</v>
      </c>
      <c r="Y21" s="85">
        <f t="shared" si="14"/>
        <v>0.46629644717411711</v>
      </c>
    </row>
    <row r="22" spans="1:25" ht="15">
      <c r="A22" s="1">
        <f t="shared" si="15"/>
        <v>14</v>
      </c>
      <c r="B22" s="8" t="s">
        <v>19</v>
      </c>
      <c r="C22" s="12">
        <v>100000</v>
      </c>
      <c r="D22" s="12">
        <v>125500</v>
      </c>
      <c r="E22" s="12">
        <f>D22*1.05</f>
        <v>131775</v>
      </c>
      <c r="F22" s="12">
        <v>220500</v>
      </c>
      <c r="G22" s="12">
        <v>243000</v>
      </c>
      <c r="H22" s="10">
        <f t="shared" si="1"/>
        <v>820775</v>
      </c>
      <c r="I22" s="83">
        <f t="shared" si="2"/>
        <v>0.27008689730872426</v>
      </c>
      <c r="J22" s="106"/>
      <c r="K22" s="11">
        <f t="shared" si="3"/>
        <v>308631.11604602</v>
      </c>
      <c r="L22" s="11">
        <f>K22+K22*I22</f>
        <v>391988.33659181837</v>
      </c>
      <c r="M22" s="11">
        <f t="shared" si="16"/>
        <v>391988.33659181837</v>
      </c>
      <c r="N22" s="11">
        <f t="shared" si="4"/>
        <v>497859.25020311045</v>
      </c>
      <c r="O22" s="11">
        <f t="shared" si="5"/>
        <v>632324.51038691634</v>
      </c>
      <c r="P22" s="11">
        <f t="shared" si="6"/>
        <v>2222791.5498196837</v>
      </c>
      <c r="R22" s="11">
        <f t="shared" si="7"/>
        <v>308631.11604602</v>
      </c>
      <c r="S22" s="11">
        <f t="shared" si="8"/>
        <v>391988.33659181837</v>
      </c>
      <c r="T22" s="11">
        <f t="shared" si="9"/>
        <v>391988.33659181837</v>
      </c>
      <c r="U22" s="11">
        <f t="shared" si="10"/>
        <v>497859.25020311045</v>
      </c>
      <c r="V22" s="11">
        <f t="shared" si="11"/>
        <v>632324.51038691634</v>
      </c>
      <c r="W22" s="11">
        <f t="shared" si="12"/>
        <v>2222791.5498196837</v>
      </c>
      <c r="X22" s="83">
        <f t="shared" si="13"/>
        <v>0.20256517298154314</v>
      </c>
      <c r="Y22" s="85">
        <f t="shared" si="14"/>
        <v>0.6307458519596304</v>
      </c>
    </row>
    <row r="23" spans="1:25" ht="15">
      <c r="A23" s="1">
        <f t="shared" si="15"/>
        <v>15</v>
      </c>
      <c r="B23" s="8" t="s">
        <v>20</v>
      </c>
      <c r="C23" s="9">
        <v>900000</v>
      </c>
      <c r="D23" s="9">
        <v>1163864</v>
      </c>
      <c r="E23" s="9">
        <v>1280000</v>
      </c>
      <c r="F23" s="9">
        <v>2188693</v>
      </c>
      <c r="G23" s="9">
        <v>1748000</v>
      </c>
      <c r="H23" s="10">
        <f t="shared" si="1"/>
        <v>7280557</v>
      </c>
      <c r="I23" s="83">
        <f t="shared" si="2"/>
        <v>0.22538340909267951</v>
      </c>
      <c r="J23" s="106"/>
      <c r="K23" s="11">
        <f>G23+G23*12%</f>
        <v>1957760</v>
      </c>
      <c r="L23" s="11">
        <f>K23+K23*12%</f>
        <v>2192691.2000000002</v>
      </c>
      <c r="M23" s="11">
        <f>L23+L23*12%</f>
        <v>2455814.1440000003</v>
      </c>
      <c r="N23" s="11">
        <f>M23+M23*9%</f>
        <v>2676837.4169600005</v>
      </c>
      <c r="O23" s="11">
        <f>N23+N23*9%</f>
        <v>2917752.7844864004</v>
      </c>
      <c r="P23" s="11">
        <f t="shared" si="6"/>
        <v>12200855.545446401</v>
      </c>
      <c r="R23" s="11">
        <f t="shared" si="7"/>
        <v>1957760</v>
      </c>
      <c r="S23" s="11">
        <f t="shared" si="8"/>
        <v>2192691.2000000002</v>
      </c>
      <c r="T23" s="11">
        <f t="shared" si="9"/>
        <v>2455814.1440000003</v>
      </c>
      <c r="U23" s="11">
        <f t="shared" si="10"/>
        <v>2676837.4169600005</v>
      </c>
      <c r="V23" s="11">
        <f t="shared" si="11"/>
        <v>2917752.7844864004</v>
      </c>
      <c r="W23" s="11">
        <f t="shared" si="12"/>
        <v>12200855.545446401</v>
      </c>
      <c r="X23" s="83">
        <f t="shared" si="13"/>
        <v>0.10500000000000004</v>
      </c>
      <c r="Y23" s="85">
        <f t="shared" si="14"/>
        <v>0.40327487913605808</v>
      </c>
    </row>
    <row r="24" spans="1:25" ht="15">
      <c r="B24" s="8"/>
      <c r="C24" s="9"/>
      <c r="D24" s="9"/>
      <c r="E24" s="9"/>
      <c r="F24" s="9"/>
      <c r="G24" s="9"/>
      <c r="H24" s="10"/>
      <c r="I24" s="83"/>
      <c r="J24" s="106"/>
      <c r="K24" s="11"/>
      <c r="L24" s="11"/>
      <c r="M24" s="11"/>
      <c r="N24" s="11"/>
      <c r="O24" s="11"/>
      <c r="P24" s="11"/>
      <c r="R24" s="11">
        <f t="shared" si="7"/>
        <v>0</v>
      </c>
      <c r="S24" s="11"/>
      <c r="T24" s="11"/>
      <c r="U24" s="11"/>
      <c r="V24" s="11"/>
      <c r="W24" s="11"/>
      <c r="X24" s="83"/>
      <c r="Y24" s="85"/>
    </row>
    <row r="25" spans="1:25" ht="15">
      <c r="A25" s="1">
        <f>A23+1</f>
        <v>16</v>
      </c>
      <c r="B25" s="8" t="s">
        <v>23</v>
      </c>
      <c r="C25" s="9">
        <v>97000</v>
      </c>
      <c r="D25" s="9">
        <v>49174</v>
      </c>
      <c r="E25" s="9">
        <v>41601</v>
      </c>
      <c r="F25" s="9">
        <v>80000</v>
      </c>
      <c r="G25" s="9">
        <v>60000</v>
      </c>
      <c r="H25" s="10">
        <f>SUM(C25:G25)</f>
        <v>327775</v>
      </c>
      <c r="I25" s="83">
        <f>((D25/C25-1)+(E25/D25-1)+(F25/E25-1)+(G25/F25-1))/4</f>
        <v>6.4937503629901305E-3</v>
      </c>
      <c r="J25" s="106"/>
      <c r="K25" s="11">
        <f>G25+G25*8%</f>
        <v>64800</v>
      </c>
      <c r="L25" s="11">
        <f>K25+K25*8%</f>
        <v>69984</v>
      </c>
      <c r="M25" s="11">
        <f>L25+L25*8%</f>
        <v>75582.720000000001</v>
      </c>
      <c r="N25" s="11">
        <f>M25+M25*8%</f>
        <v>81629.337599999999</v>
      </c>
      <c r="O25" s="11">
        <f>N25+N25*8%</f>
        <v>88159.684607999996</v>
      </c>
      <c r="P25" s="11">
        <f>SUM(K25:O25)</f>
        <v>380155.74220799998</v>
      </c>
      <c r="R25" s="11">
        <f t="shared" si="7"/>
        <v>64800</v>
      </c>
      <c r="S25" s="11">
        <f t="shared" ref="S25:V27" si="30">L25</f>
        <v>69984</v>
      </c>
      <c r="T25" s="11">
        <f t="shared" si="30"/>
        <v>75582.720000000001</v>
      </c>
      <c r="U25" s="11">
        <f t="shared" si="30"/>
        <v>81629.337599999999</v>
      </c>
      <c r="V25" s="11">
        <f t="shared" si="30"/>
        <v>88159.684607999996</v>
      </c>
      <c r="W25" s="11">
        <f>SUM(R25:V25)</f>
        <v>380155.74220799998</v>
      </c>
      <c r="X25" s="83">
        <f>((S25/R25-1)+(T25/S25-1)+(U25/T25-1)+(V25/U25-1))/4</f>
        <v>8.0000000000000071E-2</v>
      </c>
      <c r="Y25" s="85">
        <f>1-H25/W25</f>
        <v>0.13778758648696188</v>
      </c>
    </row>
    <row r="26" spans="1:25" ht="15.75">
      <c r="A26" s="1">
        <f t="shared" si="15"/>
        <v>17</v>
      </c>
      <c r="B26" s="8" t="s">
        <v>92</v>
      </c>
      <c r="C26" s="9"/>
      <c r="D26" s="9">
        <v>2662</v>
      </c>
      <c r="E26" s="9">
        <v>4256</v>
      </c>
      <c r="F26" s="9">
        <v>4000</v>
      </c>
      <c r="G26" s="9">
        <v>6000</v>
      </c>
      <c r="H26" s="10">
        <f>SUM(C26:G26)</f>
        <v>16918</v>
      </c>
      <c r="I26" s="83">
        <f>((E26/D26-1)+(F26/E26-1)+(G26/F26-1))/3</f>
        <v>0.34621584012623591</v>
      </c>
      <c r="J26" s="106"/>
      <c r="K26" s="11">
        <f>G26+G26*I26</f>
        <v>8077.2950407574153</v>
      </c>
      <c r="L26" s="11">
        <f>K26+K26*I26</f>
        <v>10873.782529240723</v>
      </c>
      <c r="M26" s="11">
        <f>L26+L26*I26</f>
        <v>14638.458282951786</v>
      </c>
      <c r="N26" s="11">
        <f>M26+M26*I26</f>
        <v>19706.524415536795</v>
      </c>
      <c r="O26" s="11">
        <f>N26+N26*I26</f>
        <v>26529.235322030047</v>
      </c>
      <c r="P26" s="11">
        <f>SUM(K26:O26)</f>
        <v>79825.295590516762</v>
      </c>
      <c r="R26" s="11">
        <f t="shared" si="7"/>
        <v>8077.2950407574153</v>
      </c>
      <c r="S26" s="11">
        <f t="shared" si="30"/>
        <v>10873.782529240723</v>
      </c>
      <c r="T26" s="11">
        <f t="shared" si="30"/>
        <v>14638.458282951786</v>
      </c>
      <c r="U26" s="11">
        <f t="shared" si="30"/>
        <v>19706.524415536795</v>
      </c>
      <c r="V26" s="11">
        <f t="shared" si="30"/>
        <v>26529.235322030047</v>
      </c>
      <c r="W26" s="11">
        <f>SUM(R26:V26)</f>
        <v>79825.295590516762</v>
      </c>
      <c r="X26" s="83">
        <f>((S26/R26-1)+(T26/S26-1)+(U26/T26-1)+(V26/U26-1))/4</f>
        <v>0.34621584012623591</v>
      </c>
      <c r="Y26" s="85">
        <f>1-H26/W26</f>
        <v>0.78806216908002458</v>
      </c>
    </row>
    <row r="27" spans="1:25" ht="15">
      <c r="A27" s="1">
        <f t="shared" si="15"/>
        <v>18</v>
      </c>
      <c r="B27" s="8" t="s">
        <v>25</v>
      </c>
      <c r="C27" s="12">
        <v>63080</v>
      </c>
      <c r="D27" s="12">
        <v>81240</v>
      </c>
      <c r="E27" s="12">
        <v>104372</v>
      </c>
      <c r="F27" s="12">
        <v>129299</v>
      </c>
      <c r="G27" s="12">
        <v>140000</v>
      </c>
      <c r="H27" s="10">
        <f>SUM(C27:G27)</f>
        <v>517991</v>
      </c>
      <c r="I27" s="83">
        <f>((D27/C27-1)+(E27/D27-1)+(F27/E27-1)+(G27/F27-1))/4</f>
        <v>0.22355376525604137</v>
      </c>
      <c r="J27" s="106"/>
      <c r="K27" s="11">
        <v>142103</v>
      </c>
      <c r="L27" s="11">
        <f>K27+K27*($K$27/$G$27-1)</f>
        <v>144237.5900642857</v>
      </c>
      <c r="M27" s="11">
        <f t="shared" ref="M27:O27" si="31">L27+L27*($K$27/$G$27-1)</f>
        <v>146404.24472075136</v>
      </c>
      <c r="N27" s="11">
        <f t="shared" si="31"/>
        <v>148603.44562537808</v>
      </c>
      <c r="O27" s="11">
        <f t="shared" si="31"/>
        <v>150835.68166930787</v>
      </c>
      <c r="P27" s="11">
        <f>SUM(K27:O27)</f>
        <v>732183.96207972302</v>
      </c>
      <c r="R27" s="11">
        <f t="shared" si="7"/>
        <v>142103</v>
      </c>
      <c r="S27" s="11">
        <f t="shared" si="30"/>
        <v>144237.5900642857</v>
      </c>
      <c r="T27" s="11">
        <f t="shared" si="30"/>
        <v>146404.24472075136</v>
      </c>
      <c r="U27" s="11">
        <f t="shared" si="30"/>
        <v>148603.44562537808</v>
      </c>
      <c r="V27" s="11">
        <f t="shared" si="30"/>
        <v>150835.68166930787</v>
      </c>
      <c r="W27" s="11">
        <f>SUM(R27:V27)</f>
        <v>732183.96207972302</v>
      </c>
      <c r="X27" s="83">
        <f>((S27/R27-1)+(T27/S27-1)+(U27/T27-1)+(V27/U27-1))/4</f>
        <v>1.5021428571428519E-2</v>
      </c>
      <c r="Y27" s="85">
        <f>1-H27/W27</f>
        <v>0.29253981673037632</v>
      </c>
    </row>
    <row r="28" spans="1:25" ht="15">
      <c r="A28" s="1">
        <f t="shared" si="15"/>
        <v>19</v>
      </c>
      <c r="B28" s="93" t="s">
        <v>96</v>
      </c>
      <c r="C28" s="12"/>
      <c r="D28" s="12"/>
      <c r="E28" s="12"/>
      <c r="F28" s="12"/>
      <c r="G28" s="12"/>
      <c r="H28" s="10"/>
      <c r="I28" s="83"/>
      <c r="J28" s="106"/>
      <c r="K28" s="11"/>
      <c r="L28" s="11"/>
      <c r="M28" s="11"/>
      <c r="N28" s="11"/>
      <c r="O28" s="11"/>
      <c r="P28" s="11"/>
      <c r="R28" s="11">
        <f t="shared" si="7"/>
        <v>0</v>
      </c>
      <c r="S28" s="11"/>
      <c r="T28" s="11"/>
      <c r="U28" s="11"/>
      <c r="V28" s="11"/>
      <c r="W28" s="11"/>
      <c r="X28" s="83"/>
      <c r="Y28" s="85"/>
    </row>
    <row r="29" spans="1:25" ht="15">
      <c r="A29" s="1">
        <f t="shared" si="15"/>
        <v>20</v>
      </c>
      <c r="B29" s="93" t="s">
        <v>26</v>
      </c>
      <c r="C29" s="9">
        <v>91210</v>
      </c>
      <c r="D29" s="9">
        <v>81756</v>
      </c>
      <c r="E29" s="9">
        <v>92995</v>
      </c>
      <c r="F29" s="9">
        <v>96000</v>
      </c>
      <c r="G29" s="9">
        <v>96900</v>
      </c>
      <c r="H29" s="10">
        <f t="shared" si="1"/>
        <v>458861</v>
      </c>
      <c r="I29" s="83">
        <f t="shared" si="2"/>
        <v>1.8876920639029265E-2</v>
      </c>
      <c r="J29" s="106"/>
      <c r="K29" s="11">
        <f t="shared" si="3"/>
        <v>98729.173609921942</v>
      </c>
      <c r="L29" s="11">
        <f>K29+K29*I29</f>
        <v>100592.87638491338</v>
      </c>
      <c r="M29" s="11">
        <f t="shared" si="16"/>
        <v>100592.87638491338</v>
      </c>
      <c r="N29" s="11">
        <f t="shared" si="4"/>
        <v>102491.76012928308</v>
      </c>
      <c r="O29" s="11">
        <f t="shared" si="5"/>
        <v>104426.48895139799</v>
      </c>
      <c r="P29" s="11">
        <f t="shared" si="6"/>
        <v>506833.1754604298</v>
      </c>
      <c r="R29" s="11">
        <f t="shared" si="7"/>
        <v>98729.173609921942</v>
      </c>
      <c r="S29" s="11">
        <f t="shared" si="8"/>
        <v>100592.87638491338</v>
      </c>
      <c r="T29" s="11">
        <f t="shared" si="9"/>
        <v>100592.87638491338</v>
      </c>
      <c r="U29" s="11">
        <f t="shared" si="10"/>
        <v>102491.76012928308</v>
      </c>
      <c r="V29" s="11">
        <f t="shared" si="11"/>
        <v>104426.48895139799</v>
      </c>
      <c r="W29" s="11">
        <f t="shared" si="12"/>
        <v>506833.1754604298</v>
      </c>
      <c r="X29" s="83">
        <f t="shared" si="13"/>
        <v>1.4157690479272012E-2</v>
      </c>
      <c r="Y29" s="85">
        <f t="shared" si="14"/>
        <v>9.4650819605188174E-2</v>
      </c>
    </row>
    <row r="30" spans="1:25" ht="15">
      <c r="A30" s="1">
        <f t="shared" si="15"/>
        <v>21</v>
      </c>
      <c r="B30" s="93" t="s">
        <v>27</v>
      </c>
      <c r="C30" s="9">
        <v>53000</v>
      </c>
      <c r="D30" s="9">
        <v>55000</v>
      </c>
      <c r="E30" s="9">
        <v>65000</v>
      </c>
      <c r="F30" s="9">
        <v>69972</v>
      </c>
      <c r="G30" s="9">
        <v>70700</v>
      </c>
      <c r="H30" s="10">
        <f t="shared" si="1"/>
        <v>313672</v>
      </c>
      <c r="I30" s="83">
        <f t="shared" si="2"/>
        <v>7.6612625057939809E-2</v>
      </c>
      <c r="J30" s="106"/>
      <c r="K30" s="11">
        <f t="shared" si="3"/>
        <v>76116.512591596344</v>
      </c>
      <c r="L30" s="11">
        <f>K30+K30*I30</f>
        <v>81947.99843149427</v>
      </c>
      <c r="M30" s="11">
        <f t="shared" si="16"/>
        <v>81947.99843149427</v>
      </c>
      <c r="N30" s="11">
        <f t="shared" si="4"/>
        <v>88226.249709574986</v>
      </c>
      <c r="O30" s="11">
        <f t="shared" si="5"/>
        <v>94985.494298842823</v>
      </c>
      <c r="P30" s="11">
        <f t="shared" si="6"/>
        <v>423224.25346300274</v>
      </c>
      <c r="R30" s="11">
        <f t="shared" si="7"/>
        <v>76116.512591596344</v>
      </c>
      <c r="S30" s="11">
        <f t="shared" si="8"/>
        <v>81947.99843149427</v>
      </c>
      <c r="T30" s="11">
        <f t="shared" si="9"/>
        <v>81947.99843149427</v>
      </c>
      <c r="U30" s="11">
        <f t="shared" si="10"/>
        <v>88226.249709574986</v>
      </c>
      <c r="V30" s="11">
        <f t="shared" si="11"/>
        <v>94985.494298842823</v>
      </c>
      <c r="W30" s="11">
        <f t="shared" si="12"/>
        <v>423224.25346300274</v>
      </c>
      <c r="X30" s="83">
        <f t="shared" si="13"/>
        <v>5.7459468793454871E-2</v>
      </c>
      <c r="Y30" s="85">
        <f t="shared" si="14"/>
        <v>0.25885154871583826</v>
      </c>
    </row>
    <row r="31" spans="1:25" ht="15">
      <c r="A31" s="1">
        <f t="shared" si="15"/>
        <v>22</v>
      </c>
      <c r="B31" s="93" t="s">
        <v>28</v>
      </c>
      <c r="C31" s="9">
        <v>214267</v>
      </c>
      <c r="D31" s="9">
        <v>235700</v>
      </c>
      <c r="E31" s="9">
        <v>246500</v>
      </c>
      <c r="F31" s="9">
        <v>329600</v>
      </c>
      <c r="G31" s="9">
        <v>362600</v>
      </c>
      <c r="H31" s="10">
        <f t="shared" si="1"/>
        <v>1388667</v>
      </c>
      <c r="I31" s="83">
        <f t="shared" si="2"/>
        <v>0.14577284902337634</v>
      </c>
      <c r="J31" s="106"/>
      <c r="K31" s="11">
        <f t="shared" si="3"/>
        <v>415457.23505587626</v>
      </c>
      <c r="L31" s="11">
        <f>K31+K31*I31</f>
        <v>476019.61985734588</v>
      </c>
      <c r="M31" s="11">
        <f t="shared" si="16"/>
        <v>476019.61985734588</v>
      </c>
      <c r="N31" s="11">
        <f t="shared" si="4"/>
        <v>545410.35603497573</v>
      </c>
      <c r="O31" s="11">
        <f t="shared" si="5"/>
        <v>624916.37752104818</v>
      </c>
      <c r="P31" s="11">
        <f t="shared" si="6"/>
        <v>2537823.2083265921</v>
      </c>
      <c r="R31" s="11">
        <f t="shared" si="7"/>
        <v>415457.23505587626</v>
      </c>
      <c r="S31" s="11">
        <f t="shared" si="8"/>
        <v>476019.61985734588</v>
      </c>
      <c r="T31" s="11">
        <f t="shared" si="9"/>
        <v>476019.61985734588</v>
      </c>
      <c r="U31" s="11">
        <f t="shared" si="10"/>
        <v>545410.35603497573</v>
      </c>
      <c r="V31" s="11">
        <f t="shared" si="11"/>
        <v>624916.37752104818</v>
      </c>
      <c r="W31" s="11">
        <f t="shared" si="12"/>
        <v>2537823.2083265921</v>
      </c>
      <c r="X31" s="83">
        <f t="shared" si="13"/>
        <v>0.10932963676753221</v>
      </c>
      <c r="Y31" s="85">
        <f t="shared" si="14"/>
        <v>0.45281176582994953</v>
      </c>
    </row>
    <row r="32" spans="1:25" ht="15">
      <c r="A32" s="1">
        <f t="shared" si="15"/>
        <v>23</v>
      </c>
      <c r="B32" s="93" t="s">
        <v>29</v>
      </c>
      <c r="C32" s="12">
        <v>575000</v>
      </c>
      <c r="D32" s="12">
        <v>670000</v>
      </c>
      <c r="E32" s="12">
        <v>517000</v>
      </c>
      <c r="F32" s="12">
        <v>495000</v>
      </c>
      <c r="G32" s="12">
        <v>505000</v>
      </c>
      <c r="H32" s="10">
        <f t="shared" si="1"/>
        <v>2762000</v>
      </c>
      <c r="I32" s="83">
        <f t="shared" si="2"/>
        <v>-2.1372997234554408E-2</v>
      </c>
      <c r="J32" s="106"/>
      <c r="K32" s="11">
        <f t="shared" si="3"/>
        <v>494206.63639655005</v>
      </c>
      <c r="L32" s="11">
        <f>K32+K32*I32</f>
        <v>483643.95932354813</v>
      </c>
      <c r="M32" s="11">
        <f t="shared" si="16"/>
        <v>483643.95932354813</v>
      </c>
      <c r="N32" s="11">
        <f t="shared" si="4"/>
        <v>473307.03831841698</v>
      </c>
      <c r="O32" s="11">
        <f t="shared" si="5"/>
        <v>463191.04829734232</v>
      </c>
      <c r="P32" s="11">
        <f t="shared" si="6"/>
        <v>2397992.6416594055</v>
      </c>
      <c r="R32" s="11">
        <f t="shared" si="7"/>
        <v>494206.63639655005</v>
      </c>
      <c r="S32" s="11">
        <f t="shared" si="8"/>
        <v>483643.95932354813</v>
      </c>
      <c r="T32" s="11">
        <f t="shared" si="9"/>
        <v>483643.95932354813</v>
      </c>
      <c r="U32" s="11">
        <f t="shared" si="10"/>
        <v>473307.03831841698</v>
      </c>
      <c r="V32" s="11">
        <f t="shared" si="11"/>
        <v>463191.04829734232</v>
      </c>
      <c r="W32" s="11">
        <f t="shared" si="12"/>
        <v>2397992.6416594055</v>
      </c>
      <c r="X32" s="83">
        <f t="shared" si="13"/>
        <v>-1.6029747925915827E-2</v>
      </c>
      <c r="Y32" s="85">
        <f t="shared" si="14"/>
        <v>-0.15179669529290218</v>
      </c>
    </row>
    <row r="33" spans="1:25" ht="15">
      <c r="A33" s="1">
        <f t="shared" si="15"/>
        <v>24</v>
      </c>
      <c r="B33" s="93" t="s">
        <v>30</v>
      </c>
      <c r="C33" s="9">
        <v>3619509</v>
      </c>
      <c r="D33" s="9">
        <v>3084487</v>
      </c>
      <c r="E33" s="9">
        <v>2761505</v>
      </c>
      <c r="F33" s="9">
        <v>3480827</v>
      </c>
      <c r="G33" s="9">
        <v>3913000</v>
      </c>
      <c r="H33" s="10">
        <f t="shared" si="1"/>
        <v>16859328</v>
      </c>
      <c r="I33" s="83">
        <f t="shared" si="2"/>
        <v>3.3028022938904084E-2</v>
      </c>
      <c r="J33" s="106"/>
      <c r="K33" s="11">
        <f t="shared" si="3"/>
        <v>4042238.6537599317</v>
      </c>
      <c r="L33" s="11">
        <f>K33+K33*$I33</f>
        <v>4175745.8047408396</v>
      </c>
      <c r="M33" s="11">
        <f t="shared" ref="M33:O33" si="32">L33+L33*$I33</f>
        <v>4313662.4329668526</v>
      </c>
      <c r="N33" s="11">
        <f t="shared" si="32"/>
        <v>4456134.1747535709</v>
      </c>
      <c r="O33" s="11">
        <f t="shared" si="32"/>
        <v>4603311.4764961665</v>
      </c>
      <c r="P33" s="11">
        <f t="shared" si="6"/>
        <v>21591092.54271736</v>
      </c>
      <c r="R33" s="11">
        <f t="shared" si="7"/>
        <v>4042238.6537599317</v>
      </c>
      <c r="S33" s="11">
        <f t="shared" si="8"/>
        <v>4175745.8047408396</v>
      </c>
      <c r="T33" s="11">
        <f t="shared" si="9"/>
        <v>4313662.4329668526</v>
      </c>
      <c r="U33" s="11">
        <f t="shared" si="10"/>
        <v>4456134.1747535709</v>
      </c>
      <c r="V33" s="11">
        <f t="shared" si="11"/>
        <v>4603311.4764961665</v>
      </c>
      <c r="W33" s="11">
        <f t="shared" si="12"/>
        <v>21591092.54271736</v>
      </c>
      <c r="X33" s="83">
        <f t="shared" si="13"/>
        <v>3.3028022938904167E-2</v>
      </c>
      <c r="Y33" s="85">
        <f t="shared" si="14"/>
        <v>0.21915354831422718</v>
      </c>
    </row>
    <row r="34" spans="1:25" ht="15">
      <c r="A34" s="1">
        <f t="shared" si="15"/>
        <v>25</v>
      </c>
      <c r="B34" s="93" t="s">
        <v>97</v>
      </c>
      <c r="C34" s="9"/>
      <c r="D34" s="9"/>
      <c r="E34" s="9"/>
      <c r="F34" s="9"/>
      <c r="G34" s="9">
        <v>18922</v>
      </c>
      <c r="H34" s="10">
        <f t="shared" si="1"/>
        <v>18922</v>
      </c>
      <c r="I34" s="83">
        <v>0.06</v>
      </c>
      <c r="J34" s="106"/>
      <c r="K34" s="11">
        <f t="shared" si="3"/>
        <v>20057.32</v>
      </c>
      <c r="L34" s="11">
        <f t="shared" ref="L34:O34" si="33">K34+K34*$I34</f>
        <v>21260.7592</v>
      </c>
      <c r="M34" s="11">
        <f t="shared" si="33"/>
        <v>22536.404752000002</v>
      </c>
      <c r="N34" s="11">
        <f t="shared" si="33"/>
        <v>23888.589037120004</v>
      </c>
      <c r="O34" s="11">
        <f t="shared" si="33"/>
        <v>25321.904379347205</v>
      </c>
      <c r="P34" s="11">
        <f t="shared" si="6"/>
        <v>113064.97736846721</v>
      </c>
      <c r="R34" s="11">
        <f t="shared" si="7"/>
        <v>20057.32</v>
      </c>
      <c r="S34" s="11"/>
      <c r="T34" s="11"/>
      <c r="U34" s="11"/>
      <c r="V34" s="11"/>
      <c r="W34" s="11"/>
      <c r="X34" s="83"/>
      <c r="Y34" s="85"/>
    </row>
    <row r="35" spans="1:25" ht="15">
      <c r="A35" s="1">
        <f t="shared" si="15"/>
        <v>26</v>
      </c>
      <c r="B35" s="93" t="s">
        <v>98</v>
      </c>
      <c r="C35" s="9"/>
      <c r="D35" s="9"/>
      <c r="E35" s="9"/>
      <c r="F35" s="9"/>
      <c r="G35" s="9">
        <v>1030</v>
      </c>
      <c r="H35" s="10">
        <f t="shared" si="1"/>
        <v>1030</v>
      </c>
      <c r="I35" s="83">
        <v>0.06</v>
      </c>
      <c r="J35" s="106"/>
      <c r="K35" s="11">
        <f t="shared" si="3"/>
        <v>1091.8</v>
      </c>
      <c r="L35" s="11">
        <f t="shared" ref="L35:O35" si="34">K35+K35*$I35</f>
        <v>1157.308</v>
      </c>
      <c r="M35" s="11">
        <f t="shared" si="34"/>
        <v>1226.74648</v>
      </c>
      <c r="N35" s="11">
        <f t="shared" si="34"/>
        <v>1300.3512688000001</v>
      </c>
      <c r="O35" s="11">
        <f t="shared" si="34"/>
        <v>1378.3723449280001</v>
      </c>
      <c r="P35" s="11">
        <f t="shared" si="6"/>
        <v>6154.5780937279997</v>
      </c>
      <c r="R35" s="11">
        <f t="shared" si="7"/>
        <v>1091.8</v>
      </c>
      <c r="S35" s="11"/>
      <c r="T35" s="11"/>
      <c r="U35" s="11"/>
      <c r="V35" s="11"/>
      <c r="W35" s="11"/>
      <c r="X35" s="83"/>
      <c r="Y35" s="85"/>
    </row>
    <row r="36" spans="1:25" ht="15">
      <c r="A36" s="1">
        <f t="shared" si="15"/>
        <v>27</v>
      </c>
      <c r="B36" s="93" t="s">
        <v>99</v>
      </c>
      <c r="C36" s="9"/>
      <c r="D36" s="9"/>
      <c r="E36" s="9"/>
      <c r="F36" s="9"/>
      <c r="G36" s="9">
        <v>5030</v>
      </c>
      <c r="H36" s="10">
        <f t="shared" si="1"/>
        <v>5030</v>
      </c>
      <c r="I36" s="83">
        <v>0.06</v>
      </c>
      <c r="J36" s="106"/>
      <c r="K36" s="11">
        <f t="shared" si="3"/>
        <v>5331.8</v>
      </c>
      <c r="L36" s="11">
        <f t="shared" ref="L36:O36" si="35">K36+K36*$I36</f>
        <v>5651.7080000000005</v>
      </c>
      <c r="M36" s="11">
        <f t="shared" si="35"/>
        <v>5990.8104800000001</v>
      </c>
      <c r="N36" s="11">
        <f t="shared" si="35"/>
        <v>6350.2591087999999</v>
      </c>
      <c r="O36" s="11">
        <f t="shared" si="35"/>
        <v>6731.2746553279994</v>
      </c>
      <c r="P36" s="11">
        <f t="shared" si="6"/>
        <v>30055.852244128</v>
      </c>
      <c r="R36" s="11">
        <f t="shared" si="7"/>
        <v>5331.8</v>
      </c>
      <c r="S36" s="11"/>
      <c r="T36" s="11"/>
      <c r="U36" s="11"/>
      <c r="V36" s="11"/>
      <c r="W36" s="11"/>
      <c r="X36" s="83"/>
      <c r="Y36" s="85"/>
    </row>
    <row r="37" spans="1:25" ht="15">
      <c r="A37" s="1">
        <f t="shared" si="15"/>
        <v>28</v>
      </c>
      <c r="B37" s="93" t="s">
        <v>21</v>
      </c>
      <c r="C37" s="9"/>
      <c r="D37" s="9"/>
      <c r="E37" s="9"/>
      <c r="F37" s="9">
        <v>7185</v>
      </c>
      <c r="G37" s="9">
        <v>7500</v>
      </c>
      <c r="H37" s="10">
        <f>SUM(C37:G37)</f>
        <v>14685</v>
      </c>
      <c r="I37" s="83">
        <v>0.01</v>
      </c>
      <c r="J37" s="106"/>
      <c r="K37" s="11">
        <f>G37+G37*I37</f>
        <v>7575</v>
      </c>
      <c r="L37" s="11">
        <f t="shared" ref="L37:O38" si="36">K37+K37*$I37</f>
        <v>7650.75</v>
      </c>
      <c r="M37" s="11">
        <f t="shared" si="36"/>
        <v>7727.2574999999997</v>
      </c>
      <c r="N37" s="11">
        <f t="shared" si="36"/>
        <v>7804.5300749999997</v>
      </c>
      <c r="O37" s="11">
        <f t="shared" si="36"/>
        <v>7882.5753757499997</v>
      </c>
      <c r="P37" s="11">
        <f>SUM(K37:O37)</f>
        <v>38640.112950750001</v>
      </c>
      <c r="R37" s="11">
        <f t="shared" si="7"/>
        <v>7575</v>
      </c>
      <c r="S37" s="11">
        <f t="shared" ref="S37:V38" si="37">L37</f>
        <v>7650.75</v>
      </c>
      <c r="T37" s="11">
        <f t="shared" si="37"/>
        <v>7727.2574999999997</v>
      </c>
      <c r="U37" s="11">
        <f t="shared" si="37"/>
        <v>7804.5300749999997</v>
      </c>
      <c r="V37" s="11">
        <f t="shared" si="37"/>
        <v>7882.5753757499997</v>
      </c>
      <c r="W37" s="11">
        <f>SUM(R37:V37)</f>
        <v>38640.112950750001</v>
      </c>
      <c r="X37" s="83">
        <f>((S37/R37-1)+(T37/S37-1)+(U37/T37-1)+(V37/U37-1))/4</f>
        <v>1.0000000000000009E-2</v>
      </c>
      <c r="Y37" s="85">
        <f>1-H37/W37</f>
        <v>0.61995452708129406</v>
      </c>
    </row>
    <row r="38" spans="1:25" ht="15">
      <c r="A38" s="1">
        <f t="shared" si="15"/>
        <v>29</v>
      </c>
      <c r="B38" s="8" t="s">
        <v>22</v>
      </c>
      <c r="C38" s="9"/>
      <c r="D38" s="9"/>
      <c r="E38" s="9"/>
      <c r="F38" s="9">
        <v>31458</v>
      </c>
      <c r="G38" s="9">
        <v>32100</v>
      </c>
      <c r="H38" s="10">
        <f>SUM(C38:G38)</f>
        <v>63558</v>
      </c>
      <c r="I38" s="83">
        <v>0.01</v>
      </c>
      <c r="J38" s="106"/>
      <c r="K38" s="11">
        <f>G38+G38*I38</f>
        <v>32421</v>
      </c>
      <c r="L38" s="11">
        <f t="shared" si="36"/>
        <v>32745.21</v>
      </c>
      <c r="M38" s="11">
        <f t="shared" si="36"/>
        <v>33072.662100000001</v>
      </c>
      <c r="N38" s="11">
        <f t="shared" si="36"/>
        <v>33403.388721000003</v>
      </c>
      <c r="O38" s="11">
        <f t="shared" si="36"/>
        <v>33737.422608209999</v>
      </c>
      <c r="P38" s="11">
        <f>SUM(K38:O38)</f>
        <v>165379.68342921001</v>
      </c>
      <c r="R38" s="11">
        <f t="shared" si="7"/>
        <v>32421</v>
      </c>
      <c r="S38" s="11">
        <f t="shared" si="37"/>
        <v>32745.21</v>
      </c>
      <c r="T38" s="11">
        <f t="shared" si="37"/>
        <v>33072.662100000001</v>
      </c>
      <c r="U38" s="11">
        <f t="shared" si="37"/>
        <v>33403.388721000003</v>
      </c>
      <c r="V38" s="11">
        <f t="shared" si="37"/>
        <v>33737.422608209999</v>
      </c>
      <c r="W38" s="11">
        <f>SUM(R38:V38)</f>
        <v>165379.68342921001</v>
      </c>
      <c r="X38" s="83">
        <f>((S38/R38-1)+(T38/S38-1)+(U38/T38-1)+(V38/U38-1))/4</f>
        <v>9.9999999999999534E-3</v>
      </c>
      <c r="Y38" s="85">
        <f>1-H38/W38</f>
        <v>0.61568435322827486</v>
      </c>
    </row>
    <row r="39" spans="1:25">
      <c r="B39" s="13" t="s">
        <v>31</v>
      </c>
      <c r="C39" s="14">
        <f t="shared" ref="C39:H39" si="38">SUM(C5:C33)</f>
        <v>18970202</v>
      </c>
      <c r="D39" s="14">
        <f t="shared" si="38"/>
        <v>19025821.550000001</v>
      </c>
      <c r="E39" s="14">
        <f t="shared" si="38"/>
        <v>19541873.324999999</v>
      </c>
      <c r="F39" s="14">
        <f t="shared" si="38"/>
        <v>26648281</v>
      </c>
      <c r="G39" s="14">
        <f t="shared" si="38"/>
        <v>28247100</v>
      </c>
      <c r="H39" s="14">
        <f t="shared" si="38"/>
        <v>112433277.875</v>
      </c>
      <c r="I39" s="79"/>
      <c r="J39" s="105"/>
      <c r="K39" s="14">
        <f t="shared" ref="K39:P39" si="39">SUM(K5:K33)</f>
        <v>29267081.021574512</v>
      </c>
      <c r="L39" s="14">
        <f t="shared" si="39"/>
        <v>30355819.477794249</v>
      </c>
      <c r="M39" s="14">
        <f t="shared" si="39"/>
        <v>31128011.635630436</v>
      </c>
      <c r="N39" s="14">
        <f t="shared" si="39"/>
        <v>32103994.700650394</v>
      </c>
      <c r="O39" s="14">
        <f t="shared" si="39"/>
        <v>33173102.160037138</v>
      </c>
      <c r="P39" s="14">
        <f t="shared" si="39"/>
        <v>156028008.99568674</v>
      </c>
      <c r="R39" s="14">
        <f t="shared" ref="R39:W39" si="40">SUM(R5:R33)</f>
        <v>29267081.021574512</v>
      </c>
      <c r="S39" s="14">
        <f t="shared" si="40"/>
        <v>31626787.845797941</v>
      </c>
      <c r="T39" s="14">
        <f t="shared" si="40"/>
        <v>34132017.158924326</v>
      </c>
      <c r="U39" s="14">
        <f t="shared" si="40"/>
        <v>36525906.966415882</v>
      </c>
      <c r="V39" s="14">
        <f t="shared" si="40"/>
        <v>38015465.220326073</v>
      </c>
      <c r="W39" s="14">
        <f t="shared" si="40"/>
        <v>169567258.21303874</v>
      </c>
      <c r="X39" s="79">
        <f t="shared" si="13"/>
        <v>6.7688994507388911E-2</v>
      </c>
    </row>
    <row r="40" spans="1:25" ht="15">
      <c r="B40" s="15"/>
      <c r="C40" s="16">
        <f>1-+C39/G39</f>
        <v>0.32841948377001529</v>
      </c>
      <c r="D40" s="17">
        <f>1-+C39/D39</f>
        <v>2.9233717899557199E-3</v>
      </c>
      <c r="E40" s="17">
        <f>1-D39/E39</f>
        <v>2.6407487471521551E-2</v>
      </c>
      <c r="F40" s="17">
        <f>1-E39/F39</f>
        <v>0.26667414963839509</v>
      </c>
      <c r="G40" s="17">
        <f>1-+F39/G39</f>
        <v>5.6601173217781686E-2</v>
      </c>
      <c r="H40" s="18"/>
      <c r="I40" s="18"/>
      <c r="J40" s="105"/>
      <c r="K40" s="19"/>
      <c r="L40" s="19"/>
      <c r="P40" s="87"/>
      <c r="S40" s="103">
        <f>S39/R39-1</f>
        <v>8.0626654311167778E-2</v>
      </c>
      <c r="W40" s="86">
        <f>1-P39/W39</f>
        <v>7.9845893364282272E-2</v>
      </c>
      <c r="X40" s="18"/>
    </row>
    <row r="41" spans="1:25">
      <c r="B41" s="15"/>
      <c r="C41" s="15"/>
      <c r="D41" s="15"/>
      <c r="E41" s="15"/>
      <c r="F41" s="15"/>
      <c r="G41" s="15"/>
      <c r="H41" s="18"/>
      <c r="I41" s="18"/>
      <c r="X41" s="18"/>
    </row>
    <row r="42" spans="1:25" ht="15">
      <c r="B42" s="8" t="s">
        <v>32</v>
      </c>
      <c r="C42" s="12">
        <v>12303.099999999999</v>
      </c>
      <c r="D42" s="12">
        <v>15476.5</v>
      </c>
      <c r="E42" s="12">
        <v>15443.805</v>
      </c>
      <c r="F42" s="12">
        <v>13883.6</v>
      </c>
      <c r="G42" s="12">
        <v>14866.484</v>
      </c>
      <c r="H42" s="10">
        <f>SUM(C42:G42)</f>
        <v>71973.489000000001</v>
      </c>
      <c r="I42" s="83">
        <f t="shared" ref="I42:I45" si="41">((D42/C42-1)+(E42/D42-1)+(F42/E42-1)+(G42/F42-1))/4</f>
        <v>5.639809762352227E-2</v>
      </c>
      <c r="K42" s="12"/>
      <c r="L42" s="12"/>
      <c r="M42" s="12"/>
      <c r="N42" s="12"/>
      <c r="O42" s="12"/>
      <c r="P42" s="12"/>
      <c r="R42" s="12"/>
      <c r="S42" s="12"/>
      <c r="T42" s="12"/>
      <c r="U42" s="12"/>
      <c r="V42" s="12"/>
      <c r="W42" s="12"/>
      <c r="X42" s="83" t="e">
        <f t="shared" si="13"/>
        <v>#DIV/0!</v>
      </c>
    </row>
    <row r="43" spans="1:25" ht="15">
      <c r="B43" s="8" t="s">
        <v>33</v>
      </c>
      <c r="C43" s="12">
        <v>2165.7590000000005</v>
      </c>
      <c r="D43" s="12">
        <v>2436.5999999999995</v>
      </c>
      <c r="E43" s="12">
        <v>2418.86</v>
      </c>
      <c r="F43" s="12">
        <v>2476.1999999999998</v>
      </c>
      <c r="G43" s="12">
        <v>2877.4149999999995</v>
      </c>
      <c r="H43" s="10">
        <f t="shared" ref="H43:H45" si="42">SUM(C43:G43)</f>
        <v>12374.834000000001</v>
      </c>
      <c r="I43" s="83">
        <f t="shared" si="41"/>
        <v>7.5877295906289083E-2</v>
      </c>
      <c r="K43" s="12"/>
      <c r="L43" s="12"/>
      <c r="M43" s="12"/>
      <c r="N43" s="12"/>
      <c r="O43" s="12"/>
      <c r="P43" s="12"/>
      <c r="R43" s="12"/>
      <c r="S43" s="12"/>
      <c r="T43" s="12"/>
      <c r="U43" s="12"/>
      <c r="V43" s="12"/>
      <c r="W43" s="12"/>
      <c r="X43" s="83" t="e">
        <f t="shared" si="13"/>
        <v>#DIV/0!</v>
      </c>
    </row>
    <row r="44" spans="1:25" ht="15">
      <c r="B44" s="8" t="s">
        <v>34</v>
      </c>
      <c r="C44" s="12">
        <v>1751.09</v>
      </c>
      <c r="D44" s="12">
        <v>2166.2000000000003</v>
      </c>
      <c r="E44" s="12">
        <v>2411.8141999999998</v>
      </c>
      <c r="F44" s="12">
        <v>2307.1999999999998</v>
      </c>
      <c r="G44" s="12">
        <v>2766.2370000000001</v>
      </c>
      <c r="H44" s="10">
        <f t="shared" si="42"/>
        <v>11402.5412</v>
      </c>
      <c r="I44" s="83">
        <f t="shared" si="41"/>
        <v>0.12650640769407595</v>
      </c>
      <c r="K44" s="12"/>
      <c r="L44" s="12"/>
      <c r="M44" s="12"/>
      <c r="N44" s="12"/>
      <c r="O44" s="12"/>
      <c r="P44" s="12"/>
      <c r="R44" s="12"/>
      <c r="S44" s="12"/>
      <c r="T44" s="12"/>
      <c r="U44" s="12"/>
      <c r="V44" s="12"/>
      <c r="W44" s="12"/>
      <c r="X44" s="83" t="e">
        <f t="shared" si="13"/>
        <v>#DIV/0!</v>
      </c>
    </row>
    <row r="45" spans="1:25" ht="15">
      <c r="B45" s="8" t="s">
        <v>149</v>
      </c>
      <c r="C45" s="12">
        <v>75161.23000000001</v>
      </c>
      <c r="D45" s="12">
        <v>75769.3</v>
      </c>
      <c r="E45" s="12">
        <v>88957.636999999988</v>
      </c>
      <c r="F45" s="12">
        <v>97981.7</v>
      </c>
      <c r="G45" s="12">
        <v>108087.88399999998</v>
      </c>
      <c r="H45" s="10">
        <f t="shared" si="42"/>
        <v>445957.75099999999</v>
      </c>
      <c r="I45" s="83">
        <f t="shared" si="41"/>
        <v>9.6683789475650705E-2</v>
      </c>
      <c r="K45" s="12"/>
      <c r="L45" s="12"/>
      <c r="M45" s="12"/>
      <c r="N45" s="12"/>
      <c r="O45" s="12"/>
      <c r="P45" s="12"/>
      <c r="R45" s="12"/>
      <c r="S45" s="12"/>
      <c r="T45" s="12"/>
      <c r="U45" s="12"/>
      <c r="V45" s="12"/>
      <c r="W45" s="12"/>
      <c r="X45" s="83" t="e">
        <f t="shared" si="13"/>
        <v>#DIV/0!</v>
      </c>
    </row>
    <row r="46" spans="1:25">
      <c r="B46" s="13" t="s">
        <v>36</v>
      </c>
      <c r="C46" s="20">
        <f>SUM(C42:C45)</f>
        <v>91381.179000000004</v>
      </c>
      <c r="D46" s="20">
        <f t="shared" ref="D46:G46" si="43">SUM(D42:D45)</f>
        <v>95848.6</v>
      </c>
      <c r="E46" s="20">
        <f t="shared" si="43"/>
        <v>109232.11619999999</v>
      </c>
      <c r="F46" s="20">
        <f t="shared" si="43"/>
        <v>116648.7</v>
      </c>
      <c r="G46" s="20">
        <f t="shared" si="43"/>
        <v>128598.01999999997</v>
      </c>
      <c r="H46" s="14">
        <f>SUM(H42:H45)</f>
        <v>541708.6152</v>
      </c>
      <c r="I46" s="79"/>
      <c r="K46" s="20">
        <f>SUM(K42:K45)</f>
        <v>0</v>
      </c>
      <c r="L46" s="20">
        <f t="shared" ref="L46:P46" si="44">SUM(L42:L45)</f>
        <v>0</v>
      </c>
      <c r="M46" s="20">
        <f t="shared" si="44"/>
        <v>0</v>
      </c>
      <c r="N46" s="20">
        <f t="shared" si="44"/>
        <v>0</v>
      </c>
      <c r="O46" s="20">
        <f t="shared" si="44"/>
        <v>0</v>
      </c>
      <c r="P46" s="20">
        <f t="shared" si="44"/>
        <v>0</v>
      </c>
      <c r="R46" s="20">
        <f>SUM(R42:R45)</f>
        <v>0</v>
      </c>
      <c r="S46" s="20">
        <f t="shared" ref="S46" si="45">SUM(S42:S45)</f>
        <v>0</v>
      </c>
      <c r="T46" s="20">
        <f t="shared" ref="T46" si="46">SUM(T42:T45)</f>
        <v>0</v>
      </c>
      <c r="U46" s="20">
        <f t="shared" ref="U46" si="47">SUM(U42:U45)</f>
        <v>0</v>
      </c>
      <c r="V46" s="20">
        <f t="shared" ref="V46" si="48">SUM(V42:V45)</f>
        <v>0</v>
      </c>
      <c r="W46" s="20">
        <f t="shared" ref="W46" si="49">SUM(W42:W45)</f>
        <v>0</v>
      </c>
    </row>
    <row r="47" spans="1:25" ht="15">
      <c r="B47" s="15"/>
      <c r="C47" s="21"/>
      <c r="D47" s="21"/>
      <c r="E47" s="21"/>
      <c r="F47" s="21"/>
      <c r="G47" s="21"/>
      <c r="H47" s="18"/>
      <c r="I47" s="18"/>
      <c r="W47" s="86" t="e">
        <f>1-P46/W46</f>
        <v>#DIV/0!</v>
      </c>
    </row>
    <row r="48" spans="1:25" ht="15">
      <c r="B48" s="15"/>
      <c r="C48" s="21"/>
      <c r="D48" s="21"/>
      <c r="E48" s="21"/>
      <c r="F48" s="21"/>
      <c r="G48" s="21"/>
      <c r="H48" s="18"/>
      <c r="I48" s="18"/>
      <c r="W48" s="86"/>
    </row>
    <row r="49" spans="2:25">
      <c r="B49" s="15"/>
      <c r="C49" s="21"/>
      <c r="D49" s="21"/>
      <c r="E49" s="21"/>
      <c r="F49" s="21"/>
      <c r="G49" s="21"/>
      <c r="H49" s="18"/>
      <c r="I49" s="18"/>
    </row>
    <row r="50" spans="2:25" s="88" customFormat="1" ht="18">
      <c r="B50" s="295" t="s">
        <v>95</v>
      </c>
      <c r="C50" s="295"/>
      <c r="D50" s="295"/>
      <c r="E50" s="295"/>
      <c r="F50" s="295"/>
      <c r="G50" s="295"/>
      <c r="H50" s="295"/>
      <c r="I50" s="295"/>
      <c r="K50" s="295" t="s">
        <v>95</v>
      </c>
      <c r="L50" s="295"/>
      <c r="M50" s="295"/>
      <c r="N50" s="295"/>
      <c r="O50" s="295"/>
      <c r="P50" s="295"/>
      <c r="Q50" s="107"/>
      <c r="R50" s="295" t="s">
        <v>95</v>
      </c>
      <c r="S50" s="295"/>
      <c r="T50" s="295"/>
      <c r="U50" s="295"/>
      <c r="V50" s="295"/>
      <c r="W50" s="295"/>
    </row>
    <row r="51" spans="2:25" s="88" customFormat="1" ht="18">
      <c r="B51" s="1"/>
      <c r="C51" s="1"/>
      <c r="D51" s="3" t="s">
        <v>85</v>
      </c>
      <c r="E51" s="3"/>
      <c r="F51" s="2"/>
      <c r="G51" s="1"/>
      <c r="H51" s="1"/>
      <c r="I51" s="1"/>
      <c r="L51" s="3" t="s">
        <v>130</v>
      </c>
      <c r="S51" s="102" t="s">
        <v>131</v>
      </c>
    </row>
    <row r="52" spans="2:25" s="88" customFormat="1" ht="15">
      <c r="B52" s="1"/>
      <c r="C52" s="5" t="s">
        <v>0</v>
      </c>
      <c r="D52" s="6" t="s">
        <v>1</v>
      </c>
      <c r="E52" s="6" t="s">
        <v>2</v>
      </c>
      <c r="F52" s="6" t="s">
        <v>3</v>
      </c>
      <c r="G52" s="6" t="s">
        <v>4</v>
      </c>
      <c r="H52" s="7" t="s">
        <v>5</v>
      </c>
      <c r="I52" s="7" t="s">
        <v>88</v>
      </c>
      <c r="J52" s="1"/>
      <c r="K52" s="77" t="s">
        <v>39</v>
      </c>
      <c r="L52" s="77" t="s">
        <v>40</v>
      </c>
      <c r="M52" s="77" t="s">
        <v>41</v>
      </c>
      <c r="N52" s="77" t="s">
        <v>42</v>
      </c>
      <c r="O52" s="77" t="s">
        <v>43</v>
      </c>
      <c r="P52" s="77" t="s">
        <v>87</v>
      </c>
      <c r="Q52" s="1"/>
      <c r="R52" s="84" t="s">
        <v>39</v>
      </c>
      <c r="S52" s="77" t="s">
        <v>40</v>
      </c>
      <c r="T52" s="77" t="s">
        <v>41</v>
      </c>
      <c r="U52" s="77" t="s">
        <v>42</v>
      </c>
      <c r="V52" s="77" t="s">
        <v>43</v>
      </c>
      <c r="W52" s="77" t="s">
        <v>87</v>
      </c>
      <c r="X52" s="7" t="s">
        <v>88</v>
      </c>
      <c r="Y52" s="1"/>
    </row>
    <row r="53" spans="2:25" s="88" customFormat="1" ht="15">
      <c r="B53" s="8" t="s">
        <v>6</v>
      </c>
      <c r="C53" s="9">
        <v>1706339</v>
      </c>
      <c r="D53" s="9">
        <v>1472202</v>
      </c>
      <c r="E53" s="9">
        <v>1950000</v>
      </c>
      <c r="F53" s="9">
        <v>1959164</v>
      </c>
      <c r="G53" s="9">
        <v>1686000</v>
      </c>
      <c r="H53" s="10">
        <f>SUM(C53:G53)</f>
        <v>8773705</v>
      </c>
      <c r="I53" s="83">
        <f>((1-+C53/D53)+(1-D53/E53)+(1-E53/F53)+(1-+F53/G53))/4</f>
        <v>-1.7838874126733573E-2</v>
      </c>
      <c r="J53" s="1"/>
      <c r="K53" s="11">
        <v>1693751</v>
      </c>
      <c r="L53" s="11">
        <f>K53+K53*$I53</f>
        <v>1663536.389108971</v>
      </c>
      <c r="M53" s="11">
        <f t="shared" ref="M53:O53" si="50">L53+L53*$I53</f>
        <v>1633860.7728584153</v>
      </c>
      <c r="N53" s="11">
        <f t="shared" si="50"/>
        <v>1604714.5361907864</v>
      </c>
      <c r="O53" s="11">
        <f t="shared" si="50"/>
        <v>1576088.2355703393</v>
      </c>
      <c r="P53" s="11">
        <f>SUM(K53:O53)</f>
        <v>8171950.9337285114</v>
      </c>
      <c r="Q53" s="1"/>
      <c r="R53" s="11">
        <f>K53</f>
        <v>1693751</v>
      </c>
      <c r="S53" s="11">
        <v>1939832.1457600005</v>
      </c>
      <c r="T53" s="11">
        <v>1908153.7755944964</v>
      </c>
      <c r="U53" s="11">
        <v>1883708.7976720936</v>
      </c>
      <c r="V53" s="11">
        <v>1972233.8484031877</v>
      </c>
      <c r="W53" s="11">
        <f>SUM(R53:V53)</f>
        <v>9397679.5674297791</v>
      </c>
      <c r="X53" s="116">
        <f>((1-+R53/S53)+(1-S53/T53)+(1-T53/U53)+(1-+U53/V53))/4</f>
        <v>3.5540993879799282E-2</v>
      </c>
      <c r="Y53" s="85">
        <f>1-H53/W53</f>
        <v>6.6396663447893411E-2</v>
      </c>
    </row>
    <row r="54" spans="2:25" s="88" customFormat="1" ht="15">
      <c r="B54" s="8" t="s">
        <v>7</v>
      </c>
      <c r="C54" s="9">
        <v>342200</v>
      </c>
      <c r="D54" s="9">
        <v>309926</v>
      </c>
      <c r="E54" s="9">
        <v>323300</v>
      </c>
      <c r="F54" s="9">
        <v>325836</v>
      </c>
      <c r="G54" s="9">
        <v>335600</v>
      </c>
      <c r="H54" s="10">
        <f t="shared" ref="H54:H84" si="51">SUM(C54:G54)</f>
        <v>1636862</v>
      </c>
      <c r="I54" s="83">
        <f t="shared" ref="I54" si="52">((1-+C54/D54)+(1-D54/E54)+(1-E54/F54)+(1-+F54/G54))/4</f>
        <v>-6.4725419667720219E-3</v>
      </c>
      <c r="J54" s="1"/>
      <c r="K54" s="11">
        <v>358450</v>
      </c>
      <c r="L54" s="11">
        <f t="shared" ref="L54" si="53">K54+K54*$I54</f>
        <v>356129.91733201058</v>
      </c>
      <c r="M54" s="11">
        <f t="shared" ref="M54:M55" si="54">L54+L54*$I54</f>
        <v>353824.85149645607</v>
      </c>
      <c r="N54" s="11">
        <f t="shared" ref="N54:N55" si="55">M54+M54*$I54</f>
        <v>351534.70529625838</v>
      </c>
      <c r="O54" s="11">
        <f t="shared" ref="O54:O55" si="56">N54+N54*$I54</f>
        <v>349259.38216345152</v>
      </c>
      <c r="P54" s="11">
        <f t="shared" ref="P54:P84" si="57">SUM(K54:O54)</f>
        <v>1769198.8562881765</v>
      </c>
      <c r="Q54" s="1"/>
      <c r="R54" s="11">
        <f t="shared" ref="R54:R85" si="58">K54</f>
        <v>358450</v>
      </c>
      <c r="S54" s="11">
        <f t="shared" ref="S54" si="59">L54</f>
        <v>356129.91733201058</v>
      </c>
      <c r="T54" s="11">
        <f t="shared" ref="T54" si="60">M54</f>
        <v>353824.85149645607</v>
      </c>
      <c r="U54" s="11">
        <f t="shared" ref="U54" si="61">N54</f>
        <v>351534.70529625838</v>
      </c>
      <c r="V54" s="11">
        <f t="shared" ref="V54" si="62">O54</f>
        <v>349259.38216345152</v>
      </c>
      <c r="W54" s="11">
        <f t="shared" ref="W54:W81" si="63">SUM(R54:V54)</f>
        <v>1769198.8562881765</v>
      </c>
      <c r="X54" s="116">
        <f t="shared" ref="X54:X55" si="64">((1-+R54/S54)+(1-S54/T54)+(1-T54/U54)+(1-+U54/V54))/4</f>
        <v>-6.5147086921835129E-3</v>
      </c>
      <c r="Y54" s="85">
        <f t="shared" ref="Y54:Y81" si="65">1-H54/W54</f>
        <v>7.480044191630475E-2</v>
      </c>
    </row>
    <row r="55" spans="2:25" s="88" customFormat="1" ht="15">
      <c r="B55" s="8" t="s">
        <v>8</v>
      </c>
      <c r="C55" s="9">
        <v>65000</v>
      </c>
      <c r="D55" s="9">
        <v>58882</v>
      </c>
      <c r="E55" s="9">
        <v>60700</v>
      </c>
      <c r="F55" s="9">
        <v>61778</v>
      </c>
      <c r="G55" s="9">
        <v>63000</v>
      </c>
      <c r="H55" s="10">
        <f t="shared" si="51"/>
        <v>309360</v>
      </c>
      <c r="I55" s="83">
        <v>0.01</v>
      </c>
      <c r="J55" s="1"/>
      <c r="K55" s="11">
        <v>64260</v>
      </c>
      <c r="L55" s="11">
        <f>K55+K55*$I55</f>
        <v>64902.6</v>
      </c>
      <c r="M55" s="11">
        <f t="shared" si="54"/>
        <v>65551.626000000004</v>
      </c>
      <c r="N55" s="11">
        <f t="shared" si="55"/>
        <v>66207.142260000008</v>
      </c>
      <c r="O55" s="11">
        <f t="shared" si="56"/>
        <v>66869.213682600006</v>
      </c>
      <c r="P55" s="11">
        <f t="shared" si="57"/>
        <v>327790.58194260002</v>
      </c>
      <c r="Q55" s="1"/>
      <c r="R55" s="11">
        <f t="shared" ref="R55:R56" si="66">K55</f>
        <v>64260</v>
      </c>
      <c r="S55" s="11">
        <f t="shared" ref="S55:S56" si="67">L55</f>
        <v>64902.6</v>
      </c>
      <c r="T55" s="11">
        <f t="shared" ref="T55:T56" si="68">M55</f>
        <v>65551.626000000004</v>
      </c>
      <c r="U55" s="11">
        <f t="shared" ref="U55:U56" si="69">N55</f>
        <v>66207.142260000008</v>
      </c>
      <c r="V55" s="11">
        <f t="shared" ref="V55:V56" si="70">O55</f>
        <v>66869.213682600006</v>
      </c>
      <c r="W55" s="11">
        <f t="shared" si="63"/>
        <v>327790.58194260002</v>
      </c>
      <c r="X55" s="116">
        <f t="shared" si="64"/>
        <v>9.9009900990099375E-3</v>
      </c>
      <c r="Y55" s="85">
        <f t="shared" si="65"/>
        <v>5.6226697647546953E-2</v>
      </c>
    </row>
    <row r="56" spans="2:25" s="88" customFormat="1" ht="15">
      <c r="B56" s="8" t="s">
        <v>9</v>
      </c>
      <c r="C56" s="9">
        <v>19200</v>
      </c>
      <c r="D56" s="9">
        <v>15623</v>
      </c>
      <c r="E56" s="9">
        <v>15700</v>
      </c>
      <c r="F56" s="9">
        <v>15300</v>
      </c>
      <c r="G56" s="9">
        <v>15300</v>
      </c>
      <c r="H56" s="10">
        <f t="shared" si="51"/>
        <v>81123</v>
      </c>
      <c r="I56" s="83">
        <v>0.01</v>
      </c>
      <c r="J56" s="1"/>
      <c r="K56" s="11">
        <f>K8/1.5</f>
        <v>8059.4473761608861</v>
      </c>
      <c r="L56" s="11">
        <f t="shared" ref="L56:N56" si="71">L8/1.5</f>
        <v>7271.0476129596927</v>
      </c>
      <c r="M56" s="11">
        <f t="shared" si="71"/>
        <v>7271.0476129596927</v>
      </c>
      <c r="N56" s="11">
        <f t="shared" si="71"/>
        <v>6559.7715230830827</v>
      </c>
      <c r="O56" s="11">
        <f>O8/1.5</f>
        <v>5918.0746332007666</v>
      </c>
      <c r="P56" s="11">
        <f t="shared" si="57"/>
        <v>35079.388758364126</v>
      </c>
      <c r="Q56" s="1"/>
      <c r="R56" s="11">
        <f t="shared" si="66"/>
        <v>8059.4473761608861</v>
      </c>
      <c r="S56" s="11">
        <f t="shared" si="67"/>
        <v>7271.0476129596927</v>
      </c>
      <c r="T56" s="11">
        <f t="shared" si="68"/>
        <v>7271.0476129596927</v>
      </c>
      <c r="U56" s="11">
        <f t="shared" si="69"/>
        <v>6559.7715230830827</v>
      </c>
      <c r="V56" s="11">
        <f t="shared" si="70"/>
        <v>5918.0746332007666</v>
      </c>
      <c r="W56" s="11">
        <f t="shared" si="63"/>
        <v>35079.388758364126</v>
      </c>
      <c r="X56" s="116">
        <v>0.01</v>
      </c>
      <c r="Y56" s="85">
        <f t="shared" si="65"/>
        <v>-1.3125545475947753</v>
      </c>
    </row>
    <row r="57" spans="2:25" s="88" customFormat="1" ht="15">
      <c r="B57" s="8" t="s">
        <v>10</v>
      </c>
      <c r="C57" s="9">
        <v>310700</v>
      </c>
      <c r="D57" s="9">
        <v>237410</v>
      </c>
      <c r="E57" s="9">
        <v>287000</v>
      </c>
      <c r="F57" s="9">
        <v>294683</v>
      </c>
      <c r="G57" s="9">
        <v>262000</v>
      </c>
      <c r="H57" s="10">
        <f t="shared" si="51"/>
        <v>1391793</v>
      </c>
      <c r="I57" s="83">
        <f t="shared" ref="I57:I66" si="72">((1-+C57/D57)+(1-D57/E57)+(1-E57/F57)+(1-+F57/G57))/4</f>
        <v>-5.864779782681695E-2</v>
      </c>
      <c r="J57" s="1"/>
      <c r="K57" s="11">
        <f>K9/1.1</f>
        <v>317253.81818181818</v>
      </c>
      <c r="L57" s="11">
        <f>K57+K57*$I57</f>
        <v>298647.58039330516</v>
      </c>
      <c r="M57" s="11">
        <f t="shared" ref="M57:O57" si="73">L57+L57*$I57</f>
        <v>281132.55747693055</v>
      </c>
      <c r="N57" s="11">
        <f t="shared" si="73"/>
        <v>264644.75208348752</v>
      </c>
      <c r="O57" s="11">
        <f t="shared" si="73"/>
        <v>249123.92016736706</v>
      </c>
      <c r="P57" s="11">
        <f t="shared" si="57"/>
        <v>1410802.6283029085</v>
      </c>
      <c r="Q57" s="1"/>
      <c r="R57" s="11">
        <f t="shared" si="58"/>
        <v>317253.81818181818</v>
      </c>
      <c r="S57" s="11">
        <v>603202.41666666674</v>
      </c>
      <c r="T57" s="11">
        <v>608212.41666666674</v>
      </c>
      <c r="U57" s="11">
        <v>616752.41666666674</v>
      </c>
      <c r="V57" s="11">
        <v>618902.41666666674</v>
      </c>
      <c r="W57" s="11">
        <f t="shared" si="63"/>
        <v>2764323.4848484853</v>
      </c>
      <c r="X57" s="116">
        <f t="shared" ref="X57:X66" si="74">((1-+R57/S57)+(1-S57/T57)+(1-T57/U57)+(1-+U57/V57))/4</f>
        <v>0.12490217144233129</v>
      </c>
      <c r="Y57" s="85">
        <f t="shared" si="65"/>
        <v>0.49651587173912637</v>
      </c>
    </row>
    <row r="58" spans="2:25" s="88" customFormat="1" ht="15">
      <c r="B58" s="8"/>
      <c r="C58" s="9"/>
      <c r="D58" s="9"/>
      <c r="E58" s="9"/>
      <c r="F58" s="9"/>
      <c r="G58" s="9"/>
      <c r="H58" s="10"/>
      <c r="I58" s="83"/>
      <c r="J58" s="1"/>
      <c r="K58" s="11"/>
      <c r="L58" s="11">
        <f t="shared" ref="L58:L86" si="75">K58+K58*$I58</f>
        <v>0</v>
      </c>
      <c r="M58" s="11">
        <f t="shared" ref="M58:M86" si="76">L58+L58*$I58</f>
        <v>0</v>
      </c>
      <c r="N58" s="11">
        <f t="shared" ref="N58:N86" si="77">M58+M58*$I58</f>
        <v>0</v>
      </c>
      <c r="O58" s="11">
        <f t="shared" ref="O58:O86" si="78">N58+N58*$I58</f>
        <v>0</v>
      </c>
      <c r="P58" s="11"/>
      <c r="Q58" s="1"/>
      <c r="R58" s="11">
        <f t="shared" si="58"/>
        <v>0</v>
      </c>
      <c r="S58" s="11">
        <f t="shared" ref="S58" si="79">L58</f>
        <v>0</v>
      </c>
      <c r="T58" s="11">
        <f t="shared" ref="T58" si="80">M58</f>
        <v>0</v>
      </c>
      <c r="U58" s="11">
        <f t="shared" ref="U58" si="81">N58</f>
        <v>0</v>
      </c>
      <c r="V58" s="11">
        <f t="shared" ref="V58" si="82">O58</f>
        <v>0</v>
      </c>
      <c r="W58" s="11"/>
      <c r="X58" s="116"/>
      <c r="Y58" s="85"/>
    </row>
    <row r="59" spans="2:25" s="88" customFormat="1" ht="15.75">
      <c r="B59" s="8" t="s">
        <v>91</v>
      </c>
      <c r="C59" s="9">
        <v>804633</v>
      </c>
      <c r="D59" s="9">
        <v>727020</v>
      </c>
      <c r="E59" s="9">
        <v>778000</v>
      </c>
      <c r="F59" s="9">
        <v>807024</v>
      </c>
      <c r="G59" s="9">
        <v>822800</v>
      </c>
      <c r="H59" s="10">
        <f t="shared" si="51"/>
        <v>3939477</v>
      </c>
      <c r="I59" s="83">
        <f t="shared" si="72"/>
        <v>3.4774519198229048E-3</v>
      </c>
      <c r="J59" s="1"/>
      <c r="K59" s="108">
        <v>863940</v>
      </c>
      <c r="L59" s="11">
        <f t="shared" si="75"/>
        <v>866944.30981161178</v>
      </c>
      <c r="M59" s="11">
        <f t="shared" si="76"/>
        <v>869959.06696614577</v>
      </c>
      <c r="N59" s="11">
        <f t="shared" si="77"/>
        <v>872984.30779373448</v>
      </c>
      <c r="O59" s="11">
        <f t="shared" si="78"/>
        <v>876020.06875084701</v>
      </c>
      <c r="P59" s="11">
        <f t="shared" si="57"/>
        <v>4349847.7533223387</v>
      </c>
      <c r="Q59" s="1"/>
      <c r="R59" s="11">
        <v>929582.31333333335</v>
      </c>
      <c r="S59" s="11">
        <v>1163940.8400000001</v>
      </c>
      <c r="T59" s="11">
        <v>1196207.5066666668</v>
      </c>
      <c r="U59" s="11">
        <v>1287168.33</v>
      </c>
      <c r="V59" s="11">
        <v>1287168.33</v>
      </c>
      <c r="W59" s="11">
        <f t="shared" si="63"/>
        <v>5864067.3200000003</v>
      </c>
      <c r="X59" s="116">
        <f t="shared" si="74"/>
        <v>7.474767496243645E-2</v>
      </c>
      <c r="Y59" s="85">
        <f t="shared" si="65"/>
        <v>0.3282005841638258</v>
      </c>
    </row>
    <row r="60" spans="2:25" s="88" customFormat="1" ht="15">
      <c r="B60" s="8" t="s">
        <v>16</v>
      </c>
      <c r="C60" s="9">
        <v>29115</v>
      </c>
      <c r="D60" s="9">
        <v>39000</v>
      </c>
      <c r="E60" s="9">
        <v>32800</v>
      </c>
      <c r="F60" s="9">
        <v>35984</v>
      </c>
      <c r="G60" s="9">
        <v>37800</v>
      </c>
      <c r="H60" s="10">
        <f>SUM(C60:G60)</f>
        <v>174699</v>
      </c>
      <c r="I60" s="83">
        <v>0.01</v>
      </c>
      <c r="J60" s="1"/>
      <c r="K60" s="11">
        <v>39312</v>
      </c>
      <c r="L60" s="11">
        <f t="shared" si="75"/>
        <v>39705.120000000003</v>
      </c>
      <c r="M60" s="11">
        <f t="shared" si="76"/>
        <v>40102.171200000004</v>
      </c>
      <c r="N60" s="11">
        <f t="shared" si="77"/>
        <v>40503.192912000006</v>
      </c>
      <c r="O60" s="11">
        <f t="shared" si="78"/>
        <v>40908.224841120005</v>
      </c>
      <c r="P60" s="11">
        <f>SUM(K60:O60)</f>
        <v>200530.70895312002</v>
      </c>
      <c r="Q60" s="1"/>
      <c r="R60" s="11">
        <f t="shared" si="58"/>
        <v>39312</v>
      </c>
      <c r="S60" s="11">
        <v>90150</v>
      </c>
      <c r="T60" s="11">
        <v>262450</v>
      </c>
      <c r="U60" s="11">
        <v>351600</v>
      </c>
      <c r="V60" s="11">
        <v>354600</v>
      </c>
      <c r="W60" s="11">
        <f>SUM(R60:V60)</f>
        <v>1098112</v>
      </c>
      <c r="X60" s="116">
        <v>0.01</v>
      </c>
      <c r="Y60" s="85">
        <f>1-H60/W60</f>
        <v>0.8409096704161324</v>
      </c>
    </row>
    <row r="61" spans="2:25" s="88" customFormat="1" ht="15">
      <c r="B61" s="8" t="s">
        <v>12</v>
      </c>
      <c r="C61" s="9">
        <v>506767</v>
      </c>
      <c r="D61" s="9">
        <v>457571</v>
      </c>
      <c r="E61" s="9">
        <v>498900</v>
      </c>
      <c r="F61" s="9">
        <v>580296</v>
      </c>
      <c r="G61" s="9">
        <v>572100</v>
      </c>
      <c r="H61" s="10">
        <f t="shared" si="51"/>
        <v>2615634</v>
      </c>
      <c r="I61" s="83">
        <f t="shared" si="72"/>
        <v>2.5316218414894454E-2</v>
      </c>
      <c r="J61" s="1"/>
      <c r="K61" s="11">
        <v>600705</v>
      </c>
      <c r="L61" s="11">
        <f t="shared" si="75"/>
        <v>615912.57898291922</v>
      </c>
      <c r="M61" s="11">
        <f t="shared" si="76"/>
        <v>631505.15635693178</v>
      </c>
      <c r="N61" s="11">
        <f t="shared" si="77"/>
        <v>647492.47882539593</v>
      </c>
      <c r="O61" s="11">
        <f t="shared" si="78"/>
        <v>663884.53984134109</v>
      </c>
      <c r="P61" s="11">
        <f t="shared" si="57"/>
        <v>3159499.7540065879</v>
      </c>
      <c r="Q61" s="1"/>
      <c r="R61" s="11">
        <f t="shared" si="58"/>
        <v>600705</v>
      </c>
      <c r="S61" s="11">
        <f t="shared" ref="S61:S65" si="83">L61</f>
        <v>615912.57898291922</v>
      </c>
      <c r="T61" s="11">
        <f t="shared" ref="T61:T65" si="84">M61</f>
        <v>631505.15635693178</v>
      </c>
      <c r="U61" s="11">
        <f t="shared" ref="U61:U65" si="85">N61</f>
        <v>647492.47882539593</v>
      </c>
      <c r="V61" s="11">
        <f t="shared" ref="V61:V65" si="86">O61</f>
        <v>663884.53984134109</v>
      </c>
      <c r="W61" s="11">
        <f t="shared" si="63"/>
        <v>3159499.7540065879</v>
      </c>
      <c r="X61" s="83">
        <f t="shared" si="74"/>
        <v>2.469113231626488E-2</v>
      </c>
      <c r="Y61" s="85">
        <f t="shared" si="65"/>
        <v>0.17213666603927003</v>
      </c>
    </row>
    <row r="62" spans="2:25" s="88" customFormat="1" ht="15">
      <c r="B62" s="8"/>
      <c r="C62" s="9"/>
      <c r="D62" s="9"/>
      <c r="E62" s="9"/>
      <c r="F62" s="9"/>
      <c r="G62" s="9"/>
      <c r="H62" s="10"/>
      <c r="I62" s="83"/>
      <c r="J62" s="1"/>
      <c r="K62" s="11"/>
      <c r="L62" s="11">
        <f t="shared" si="75"/>
        <v>0</v>
      </c>
      <c r="M62" s="11">
        <f t="shared" si="76"/>
        <v>0</v>
      </c>
      <c r="N62" s="11">
        <f t="shared" si="77"/>
        <v>0</v>
      </c>
      <c r="O62" s="11">
        <f t="shared" si="78"/>
        <v>0</v>
      </c>
      <c r="P62" s="11"/>
      <c r="Q62" s="1"/>
      <c r="R62" s="11">
        <f t="shared" si="58"/>
        <v>0</v>
      </c>
      <c r="S62" s="11">
        <f t="shared" si="83"/>
        <v>0</v>
      </c>
      <c r="T62" s="11">
        <f t="shared" si="84"/>
        <v>0</v>
      </c>
      <c r="U62" s="11">
        <f t="shared" si="85"/>
        <v>0</v>
      </c>
      <c r="V62" s="11">
        <f t="shared" si="86"/>
        <v>0</v>
      </c>
      <c r="W62" s="11"/>
      <c r="X62" s="83"/>
      <c r="Y62" s="85"/>
    </row>
    <row r="63" spans="2:25" s="88" customFormat="1" ht="15">
      <c r="B63" s="8" t="s">
        <v>13</v>
      </c>
      <c r="C63" s="9">
        <v>953240</v>
      </c>
      <c r="D63" s="9">
        <v>791339</v>
      </c>
      <c r="E63" s="9">
        <v>950000</v>
      </c>
      <c r="F63" s="9">
        <v>1016500</v>
      </c>
      <c r="G63" s="9">
        <v>1159000</v>
      </c>
      <c r="H63" s="10">
        <f t="shared" si="51"/>
        <v>4870079</v>
      </c>
      <c r="I63" s="83">
        <f t="shared" si="72"/>
        <v>3.7697938457049218E-2</v>
      </c>
      <c r="J63" s="1"/>
      <c r="K63" s="11">
        <f>K15/14</f>
        <v>1055335.7142857143</v>
      </c>
      <c r="L63" s="11">
        <f t="shared" si="75"/>
        <v>1095119.6950943833</v>
      </c>
      <c r="M63" s="11">
        <f t="shared" si="76"/>
        <v>1136403.4499631538</v>
      </c>
      <c r="N63" s="11">
        <f t="shared" si="77"/>
        <v>1179243.5172822431</v>
      </c>
      <c r="O63" s="11">
        <f t="shared" si="78"/>
        <v>1223698.5668226234</v>
      </c>
      <c r="P63" s="11">
        <f t="shared" si="57"/>
        <v>5689800.9434481189</v>
      </c>
      <c r="Q63" s="1"/>
      <c r="R63" s="11">
        <f t="shared" si="58"/>
        <v>1055335.7142857143</v>
      </c>
      <c r="S63" s="11">
        <f t="shared" si="83"/>
        <v>1095119.6950943833</v>
      </c>
      <c r="T63" s="11">
        <f t="shared" si="84"/>
        <v>1136403.4499631538</v>
      </c>
      <c r="U63" s="11">
        <f t="shared" si="85"/>
        <v>1179243.5172822431</v>
      </c>
      <c r="V63" s="11">
        <f t="shared" si="86"/>
        <v>1223698.5668226234</v>
      </c>
      <c r="W63" s="11">
        <f t="shared" si="63"/>
        <v>5689800.9434481189</v>
      </c>
      <c r="X63" s="83">
        <f t="shared" si="74"/>
        <v>3.6328431482770596E-2</v>
      </c>
      <c r="Y63" s="85">
        <f t="shared" si="65"/>
        <v>0.14406865048451989</v>
      </c>
    </row>
    <row r="64" spans="2:25" s="88" customFormat="1" ht="15">
      <c r="B64" s="8" t="s">
        <v>14</v>
      </c>
      <c r="C64" s="9">
        <v>174800</v>
      </c>
      <c r="D64" s="9">
        <v>164323</v>
      </c>
      <c r="E64" s="9">
        <v>185000</v>
      </c>
      <c r="F64" s="9">
        <v>210900</v>
      </c>
      <c r="G64" s="9">
        <v>232000</v>
      </c>
      <c r="H64" s="10">
        <f t="shared" si="51"/>
        <v>967023</v>
      </c>
      <c r="I64" s="83">
        <f t="shared" si="72"/>
        <v>6.5441071979801729E-2</v>
      </c>
      <c r="J64" s="1"/>
      <c r="K64" s="11">
        <f>K16/10.2</f>
        <v>243600.00000000003</v>
      </c>
      <c r="L64" s="11">
        <f t="shared" si="75"/>
        <v>259541.44513427973</v>
      </c>
      <c r="M64" s="11">
        <f t="shared" si="76"/>
        <v>276526.11552705389</v>
      </c>
      <c r="N64" s="11">
        <f t="shared" si="77"/>
        <v>294622.28095755482</v>
      </c>
      <c r="O64" s="11">
        <f t="shared" si="78"/>
        <v>313902.6788525515</v>
      </c>
      <c r="P64" s="11">
        <f t="shared" si="57"/>
        <v>1388192.5204714402</v>
      </c>
      <c r="Q64" s="1"/>
      <c r="R64" s="11">
        <f t="shared" si="58"/>
        <v>243600.00000000003</v>
      </c>
      <c r="S64" s="11">
        <f t="shared" si="83"/>
        <v>259541.44513427973</v>
      </c>
      <c r="T64" s="11">
        <f t="shared" si="84"/>
        <v>276526.11552705389</v>
      </c>
      <c r="U64" s="11">
        <f t="shared" si="85"/>
        <v>294622.28095755482</v>
      </c>
      <c r="V64" s="11">
        <f t="shared" si="86"/>
        <v>313902.6788525515</v>
      </c>
      <c r="W64" s="11">
        <f t="shared" si="63"/>
        <v>1388192.5204714402</v>
      </c>
      <c r="X64" s="83">
        <f t="shared" si="74"/>
        <v>6.1421578068319826E-2</v>
      </c>
      <c r="Y64" s="85">
        <f t="shared" si="65"/>
        <v>0.30339417210547137</v>
      </c>
    </row>
    <row r="65" spans="2:25" s="88" customFormat="1" ht="15">
      <c r="B65" s="8"/>
      <c r="C65" s="9"/>
      <c r="D65" s="9"/>
      <c r="E65" s="9"/>
      <c r="F65" s="9"/>
      <c r="G65" s="9"/>
      <c r="H65" s="10"/>
      <c r="I65" s="83"/>
      <c r="J65" s="1"/>
      <c r="K65" s="11"/>
      <c r="L65" s="11">
        <f t="shared" si="75"/>
        <v>0</v>
      </c>
      <c r="M65" s="11">
        <f t="shared" si="76"/>
        <v>0</v>
      </c>
      <c r="N65" s="11">
        <f t="shared" si="77"/>
        <v>0</v>
      </c>
      <c r="O65" s="11">
        <f t="shared" si="78"/>
        <v>0</v>
      </c>
      <c r="P65" s="11"/>
      <c r="Q65" s="1"/>
      <c r="R65" s="11">
        <f t="shared" si="58"/>
        <v>0</v>
      </c>
      <c r="S65" s="11">
        <f t="shared" si="83"/>
        <v>0</v>
      </c>
      <c r="T65" s="11">
        <f t="shared" si="84"/>
        <v>0</v>
      </c>
      <c r="U65" s="11">
        <f t="shared" si="85"/>
        <v>0</v>
      </c>
      <c r="V65" s="11">
        <f t="shared" si="86"/>
        <v>0</v>
      </c>
      <c r="W65" s="11"/>
      <c r="X65" s="83"/>
      <c r="Y65" s="85"/>
    </row>
    <row r="66" spans="2:25" s="88" customFormat="1" ht="15">
      <c r="B66" s="8" t="s">
        <v>15</v>
      </c>
      <c r="C66" s="12">
        <v>108021</v>
      </c>
      <c r="D66" s="12">
        <v>117000</v>
      </c>
      <c r="E66" s="12">
        <v>120600</v>
      </c>
      <c r="F66" s="12">
        <v>142513.01999999999</v>
      </c>
      <c r="G66" s="12">
        <v>168200</v>
      </c>
      <c r="H66" s="10">
        <f t="shared" si="51"/>
        <v>656334.02</v>
      </c>
      <c r="I66" s="83">
        <f t="shared" si="72"/>
        <v>0.10326818766812948</v>
      </c>
      <c r="J66" s="1"/>
      <c r="K66" s="11">
        <f>K18/0.6</f>
        <v>197336.66666666669</v>
      </c>
      <c r="L66" s="11">
        <f t="shared" si="75"/>
        <v>217715.26659380313</v>
      </c>
      <c r="M66" s="11">
        <f t="shared" si="76"/>
        <v>240198.32760262882</v>
      </c>
      <c r="N66" s="11">
        <f t="shared" si="77"/>
        <v>265003.17357506795</v>
      </c>
      <c r="O66" s="11">
        <f t="shared" si="78"/>
        <v>292369.57103646797</v>
      </c>
      <c r="P66" s="11">
        <f t="shared" si="57"/>
        <v>1212623.0054746347</v>
      </c>
      <c r="Q66" s="1"/>
      <c r="R66" s="11">
        <f t="shared" si="58"/>
        <v>197336.66666666669</v>
      </c>
      <c r="S66" s="11">
        <v>222058.82352941178</v>
      </c>
      <c r="T66" s="11">
        <v>319117.64705882355</v>
      </c>
      <c r="U66" s="11">
        <v>329117.64705882355</v>
      </c>
      <c r="V66" s="11">
        <v>334117.64705882355</v>
      </c>
      <c r="W66" s="11">
        <f t="shared" si="63"/>
        <v>1401748.4313725492</v>
      </c>
      <c r="X66" s="83">
        <f t="shared" si="74"/>
        <v>0.11520702329255889</v>
      </c>
      <c r="Y66" s="85">
        <f t="shared" si="65"/>
        <v>0.53177474266381886</v>
      </c>
    </row>
    <row r="67" spans="2:25" s="88" customFormat="1" ht="15">
      <c r="B67" s="8" t="s">
        <v>17</v>
      </c>
      <c r="C67" s="9">
        <v>11790</v>
      </c>
      <c r="D67" s="9">
        <v>12780</v>
      </c>
      <c r="E67" s="9">
        <v>15975</v>
      </c>
      <c r="F67" s="9">
        <v>20128.5</v>
      </c>
      <c r="G67" s="9">
        <v>22700</v>
      </c>
      <c r="H67" s="10">
        <f t="shared" si="51"/>
        <v>83373.5</v>
      </c>
      <c r="I67" s="83">
        <v>0.01</v>
      </c>
      <c r="J67" s="1"/>
      <c r="K67" s="11">
        <f>K19/0.7</f>
        <v>21328.565564096763</v>
      </c>
      <c r="L67" s="11">
        <f t="shared" ref="L67:O67" si="87">L19/0.7</f>
        <v>20412.525404832177</v>
      </c>
      <c r="M67" s="11">
        <f t="shared" si="87"/>
        <v>20412.525404832177</v>
      </c>
      <c r="N67" s="11">
        <f t="shared" si="87"/>
        <v>19535.828237053054</v>
      </c>
      <c r="O67" s="11">
        <f t="shared" si="87"/>
        <v>18696.784319361748</v>
      </c>
      <c r="P67" s="11">
        <f t="shared" si="57"/>
        <v>100386.22893017592</v>
      </c>
      <c r="Q67" s="1"/>
      <c r="R67" s="11">
        <f t="shared" si="58"/>
        <v>21328.565564096763</v>
      </c>
      <c r="S67" s="11">
        <v>116029.41176470589</v>
      </c>
      <c r="T67" s="11">
        <v>329529.41176470596</v>
      </c>
      <c r="U67" s="11">
        <v>436000.00000000006</v>
      </c>
      <c r="V67" s="11">
        <v>444000.00000000006</v>
      </c>
      <c r="W67" s="11">
        <f t="shared" si="63"/>
        <v>1346887.3890935087</v>
      </c>
      <c r="X67" s="83">
        <v>0.01</v>
      </c>
      <c r="Y67" s="85">
        <f t="shared" si="65"/>
        <v>0.93809913087380481</v>
      </c>
    </row>
    <row r="68" spans="2:25" s="88" customFormat="1" ht="15">
      <c r="B68" s="8"/>
      <c r="C68" s="9"/>
      <c r="D68" s="9"/>
      <c r="E68" s="9"/>
      <c r="F68" s="9"/>
      <c r="G68" s="9"/>
      <c r="H68" s="10"/>
      <c r="I68" s="83"/>
      <c r="J68" s="1"/>
      <c r="K68" s="11"/>
      <c r="L68" s="11">
        <f t="shared" si="75"/>
        <v>0</v>
      </c>
      <c r="M68" s="11">
        <f t="shared" si="76"/>
        <v>0</v>
      </c>
      <c r="N68" s="11">
        <f t="shared" si="77"/>
        <v>0</v>
      </c>
      <c r="O68" s="11">
        <f t="shared" si="78"/>
        <v>0</v>
      </c>
      <c r="P68" s="11"/>
      <c r="Q68" s="1"/>
      <c r="R68" s="11">
        <f t="shared" si="58"/>
        <v>0</v>
      </c>
      <c r="S68" s="11">
        <f t="shared" ref="S68:S86" si="88">L68</f>
        <v>0</v>
      </c>
      <c r="T68" s="11">
        <f t="shared" ref="T68:T86" si="89">M68</f>
        <v>0</v>
      </c>
      <c r="U68" s="11">
        <f t="shared" ref="U68:U86" si="90">N68</f>
        <v>0</v>
      </c>
      <c r="V68" s="11">
        <f t="shared" ref="V68:V86" si="91">O68</f>
        <v>0</v>
      </c>
      <c r="W68" s="11"/>
      <c r="X68" s="83"/>
      <c r="Y68" s="85"/>
    </row>
    <row r="69" spans="2:25" s="88" customFormat="1" ht="15">
      <c r="B69" s="8" t="s">
        <v>18</v>
      </c>
      <c r="C69" s="9">
        <v>16700</v>
      </c>
      <c r="D69" s="9">
        <v>17000</v>
      </c>
      <c r="E69" s="9">
        <v>22700</v>
      </c>
      <c r="F69" s="9">
        <v>26543</v>
      </c>
      <c r="G69" s="9">
        <v>30500</v>
      </c>
      <c r="H69" s="10">
        <f t="shared" si="51"/>
        <v>113443</v>
      </c>
      <c r="I69" s="83">
        <f t="shared" ref="I69:I71" si="92">((1-+C69/D69)+(1-D69/E69)+(1-E69/F69)+(1-+F69/G69))/4</f>
        <v>0.13581750520708766</v>
      </c>
      <c r="J69" s="1"/>
      <c r="K69" s="11">
        <v>32940</v>
      </c>
      <c r="L69" s="11">
        <f t="shared" si="75"/>
        <v>37413.828621521468</v>
      </c>
      <c r="M69" s="11">
        <f t="shared" si="76"/>
        <v>42495.281485142048</v>
      </c>
      <c r="N69" s="11">
        <f t="shared" si="77"/>
        <v>48266.88459952698</v>
      </c>
      <c r="O69" s="11">
        <f t="shared" si="78"/>
        <v>54822.372449953138</v>
      </c>
      <c r="P69" s="11">
        <f t="shared" si="57"/>
        <v>215938.36715614362</v>
      </c>
      <c r="Q69" s="1"/>
      <c r="R69" s="11">
        <f t="shared" si="58"/>
        <v>32940</v>
      </c>
      <c r="S69" s="11">
        <f t="shared" si="88"/>
        <v>37413.828621521468</v>
      </c>
      <c r="T69" s="11">
        <f t="shared" si="89"/>
        <v>42495.281485142048</v>
      </c>
      <c r="U69" s="11">
        <f t="shared" si="90"/>
        <v>48266.88459952698</v>
      </c>
      <c r="V69" s="11">
        <f t="shared" si="91"/>
        <v>54822.372449953138</v>
      </c>
      <c r="W69" s="11">
        <f t="shared" si="63"/>
        <v>215938.36715614362</v>
      </c>
      <c r="X69" s="83">
        <f t="shared" ref="X69:X71" si="93">((1-+R69/S69)+(1-S69/T69)+(1-T69/U69)+(1-+U69/V69))/4</f>
        <v>0.11957687267931724</v>
      </c>
      <c r="Y69" s="85">
        <f t="shared" si="65"/>
        <v>0.47465102429912276</v>
      </c>
    </row>
    <row r="70" spans="2:25" s="88" customFormat="1" ht="15">
      <c r="B70" s="8" t="s">
        <v>19</v>
      </c>
      <c r="C70" s="12">
        <v>7800</v>
      </c>
      <c r="D70" s="12">
        <v>8100</v>
      </c>
      <c r="E70" s="12">
        <v>9530</v>
      </c>
      <c r="F70" s="12">
        <v>11025</v>
      </c>
      <c r="G70" s="12">
        <v>12100</v>
      </c>
      <c r="H70" s="10">
        <f t="shared" si="51"/>
        <v>48555</v>
      </c>
      <c r="I70" s="83">
        <f t="shared" si="92"/>
        <v>0.10288334629257348</v>
      </c>
      <c r="J70" s="1"/>
      <c r="K70" s="11">
        <v>13068</v>
      </c>
      <c r="L70" s="11">
        <f t="shared" si="75"/>
        <v>14412.47956935135</v>
      </c>
      <c r="M70" s="11">
        <f t="shared" si="76"/>
        <v>15895.283695819566</v>
      </c>
      <c r="N70" s="11">
        <f t="shared" si="77"/>
        <v>17530.643672715269</v>
      </c>
      <c r="O70" s="11">
        <f t="shared" si="78"/>
        <v>19334.254956426947</v>
      </c>
      <c r="P70" s="11">
        <f t="shared" si="57"/>
        <v>80240.661894313133</v>
      </c>
      <c r="Q70" s="1"/>
      <c r="R70" s="11">
        <f t="shared" si="58"/>
        <v>13068</v>
      </c>
      <c r="S70" s="11">
        <f t="shared" si="88"/>
        <v>14412.47956935135</v>
      </c>
      <c r="T70" s="11">
        <f t="shared" si="89"/>
        <v>15895.283695819566</v>
      </c>
      <c r="U70" s="11">
        <f t="shared" si="90"/>
        <v>17530.643672715269</v>
      </c>
      <c r="V70" s="11">
        <f t="shared" si="91"/>
        <v>19334.254956426947</v>
      </c>
      <c r="W70" s="11">
        <f t="shared" si="63"/>
        <v>80240.661894313133</v>
      </c>
      <c r="X70" s="83">
        <f t="shared" si="93"/>
        <v>9.3285791864047757E-2</v>
      </c>
      <c r="Y70" s="85">
        <f t="shared" si="65"/>
        <v>0.39488285797102551</v>
      </c>
    </row>
    <row r="71" spans="2:25" s="88" customFormat="1" ht="15">
      <c r="B71" s="8" t="s">
        <v>20</v>
      </c>
      <c r="C71" s="9">
        <v>126507</v>
      </c>
      <c r="D71" s="9">
        <v>153500</v>
      </c>
      <c r="E71" s="9">
        <v>162000</v>
      </c>
      <c r="F71" s="9">
        <v>205237.8</v>
      </c>
      <c r="G71" s="9">
        <v>173100</v>
      </c>
      <c r="H71" s="10">
        <f t="shared" si="51"/>
        <v>820344.8</v>
      </c>
      <c r="I71" s="83">
        <f t="shared" si="92"/>
        <v>6.3332676269545557E-2</v>
      </c>
      <c r="J71" s="1"/>
      <c r="K71" s="11">
        <v>183486</v>
      </c>
      <c r="L71" s="11">
        <f t="shared" si="75"/>
        <v>195106.65943799383</v>
      </c>
      <c r="M71" s="11">
        <f t="shared" si="76"/>
        <v>207463.28633821278</v>
      </c>
      <c r="N71" s="11">
        <f t="shared" si="77"/>
        <v>220602.49148968686</v>
      </c>
      <c r="O71" s="11">
        <f t="shared" si="78"/>
        <v>234573.83766745837</v>
      </c>
      <c r="P71" s="11">
        <f t="shared" si="57"/>
        <v>1041232.2749333519</v>
      </c>
      <c r="Q71" s="1"/>
      <c r="R71" s="11">
        <f t="shared" si="58"/>
        <v>183486</v>
      </c>
      <c r="S71" s="11">
        <f t="shared" si="88"/>
        <v>195106.65943799383</v>
      </c>
      <c r="T71" s="11">
        <f t="shared" si="89"/>
        <v>207463.28633821278</v>
      </c>
      <c r="U71" s="11">
        <f t="shared" si="90"/>
        <v>220602.49148968686</v>
      </c>
      <c r="V71" s="11">
        <f t="shared" si="91"/>
        <v>234573.83766745837</v>
      </c>
      <c r="W71" s="11">
        <f t="shared" si="63"/>
        <v>1041232.2749333519</v>
      </c>
      <c r="X71" s="83">
        <f t="shared" si="93"/>
        <v>5.9560547402468134E-2</v>
      </c>
      <c r="Y71" s="85">
        <f t="shared" si="65"/>
        <v>0.21214044190811376</v>
      </c>
    </row>
    <row r="72" spans="2:25" s="88" customFormat="1" ht="15">
      <c r="B72" s="8"/>
      <c r="C72" s="9"/>
      <c r="D72" s="9"/>
      <c r="E72" s="9"/>
      <c r="F72" s="9"/>
      <c r="G72" s="9"/>
      <c r="H72" s="10"/>
      <c r="I72" s="83"/>
      <c r="J72" s="1"/>
      <c r="K72" s="11"/>
      <c r="L72" s="11">
        <f t="shared" si="75"/>
        <v>0</v>
      </c>
      <c r="M72" s="11">
        <f t="shared" si="76"/>
        <v>0</v>
      </c>
      <c r="N72" s="11">
        <f t="shared" si="77"/>
        <v>0</v>
      </c>
      <c r="O72" s="11">
        <f t="shared" si="78"/>
        <v>0</v>
      </c>
      <c r="P72" s="11"/>
      <c r="Q72" s="1"/>
      <c r="R72" s="11">
        <f t="shared" si="58"/>
        <v>0</v>
      </c>
      <c r="S72" s="11">
        <f t="shared" si="88"/>
        <v>0</v>
      </c>
      <c r="T72" s="11">
        <f t="shared" si="89"/>
        <v>0</v>
      </c>
      <c r="U72" s="11">
        <f t="shared" si="90"/>
        <v>0</v>
      </c>
      <c r="V72" s="11">
        <f t="shared" si="91"/>
        <v>0</v>
      </c>
      <c r="W72" s="11"/>
      <c r="X72" s="83"/>
      <c r="Y72" s="85"/>
    </row>
    <row r="73" spans="2:25" s="88" customFormat="1" ht="15">
      <c r="B73" s="8" t="s">
        <v>23</v>
      </c>
      <c r="C73" s="9">
        <v>120000</v>
      </c>
      <c r="D73" s="9">
        <v>101000</v>
      </c>
      <c r="E73" s="9">
        <v>114068</v>
      </c>
      <c r="F73" s="9">
        <v>141091.35</v>
      </c>
      <c r="G73" s="9">
        <v>100000</v>
      </c>
      <c r="H73" s="10">
        <f>SUM(C73:G73)</f>
        <v>576159.35</v>
      </c>
      <c r="I73" s="83">
        <v>-0.05</v>
      </c>
      <c r="J73" s="1"/>
      <c r="K73" s="11">
        <v>100000</v>
      </c>
      <c r="L73" s="11">
        <f>K73+K73*8%</f>
        <v>108000</v>
      </c>
      <c r="M73" s="11">
        <f>L73+L73*7.5%</f>
        <v>116100</v>
      </c>
      <c r="N73" s="11">
        <f>M73+M73*7%</f>
        <v>124227</v>
      </c>
      <c r="O73" s="11">
        <f>N73+N73*5%</f>
        <v>130438.35</v>
      </c>
      <c r="P73" s="11">
        <f>SUM(K73:O73)</f>
        <v>578765.35</v>
      </c>
      <c r="Q73" s="1"/>
      <c r="R73" s="11">
        <f t="shared" si="58"/>
        <v>100000</v>
      </c>
      <c r="S73" s="11">
        <f t="shared" si="88"/>
        <v>108000</v>
      </c>
      <c r="T73" s="11">
        <f t="shared" si="89"/>
        <v>116100</v>
      </c>
      <c r="U73" s="11">
        <f t="shared" si="90"/>
        <v>124227</v>
      </c>
      <c r="V73" s="11">
        <f t="shared" si="91"/>
        <v>130438.35</v>
      </c>
      <c r="W73" s="11">
        <f>SUM(R73:V73)</f>
        <v>578765.35</v>
      </c>
      <c r="X73" s="83">
        <v>-0.05</v>
      </c>
      <c r="Y73" s="85">
        <f>1-H73/W73</f>
        <v>4.5026883520238314E-3</v>
      </c>
    </row>
    <row r="74" spans="2:25" s="88" customFormat="1" ht="15.75">
      <c r="B74" s="8" t="s">
        <v>92</v>
      </c>
      <c r="C74" s="9">
        <v>0</v>
      </c>
      <c r="D74" s="9">
        <v>0</v>
      </c>
      <c r="E74" s="9">
        <v>1398</v>
      </c>
      <c r="F74" s="9">
        <v>2303</v>
      </c>
      <c r="G74" s="9">
        <v>2400</v>
      </c>
      <c r="H74" s="10">
        <f>SUM(C74:G74)</f>
        <v>6101</v>
      </c>
      <c r="I74" s="83">
        <v>0.01</v>
      </c>
      <c r="J74" s="1"/>
      <c r="K74" s="11">
        <v>2400</v>
      </c>
      <c r="L74" s="11">
        <f t="shared" si="75"/>
        <v>2424</v>
      </c>
      <c r="M74" s="11">
        <f t="shared" si="76"/>
        <v>2448.2399999999998</v>
      </c>
      <c r="N74" s="11">
        <f t="shared" si="77"/>
        <v>2472.7223999999997</v>
      </c>
      <c r="O74" s="11">
        <f t="shared" si="78"/>
        <v>2497.4496239999999</v>
      </c>
      <c r="P74" s="11">
        <f>SUM(K74:O74)</f>
        <v>12242.412024000001</v>
      </c>
      <c r="Q74" s="1"/>
      <c r="R74" s="11">
        <f t="shared" si="58"/>
        <v>2400</v>
      </c>
      <c r="S74" s="11">
        <f t="shared" si="88"/>
        <v>2424</v>
      </c>
      <c r="T74" s="11">
        <f t="shared" si="89"/>
        <v>2448.2399999999998</v>
      </c>
      <c r="U74" s="11">
        <f t="shared" si="90"/>
        <v>2472.7223999999997</v>
      </c>
      <c r="V74" s="11">
        <f t="shared" si="91"/>
        <v>2497.4496239999999</v>
      </c>
      <c r="W74" s="11">
        <f>SUM(R74:V74)</f>
        <v>12242.412024000001</v>
      </c>
      <c r="X74" s="83">
        <v>0.01</v>
      </c>
      <c r="Y74" s="85">
        <f>1-H74/W74</f>
        <v>0.50165049272646511</v>
      </c>
    </row>
    <row r="75" spans="2:25" s="88" customFormat="1" ht="15">
      <c r="B75" s="8" t="s">
        <v>25</v>
      </c>
      <c r="C75" s="12" t="s">
        <v>94</v>
      </c>
      <c r="D75" s="12" t="s">
        <v>94</v>
      </c>
      <c r="E75" s="12" t="s">
        <v>94</v>
      </c>
      <c r="F75" s="12" t="s">
        <v>94</v>
      </c>
      <c r="G75" s="12">
        <v>550724</v>
      </c>
      <c r="H75" s="10">
        <f>SUM(C75:G75)</f>
        <v>550724</v>
      </c>
      <c r="I75" s="83">
        <v>0.01</v>
      </c>
      <c r="J75" s="1"/>
      <c r="K75" s="11">
        <v>550724</v>
      </c>
      <c r="L75" s="11">
        <f t="shared" si="75"/>
        <v>556231.24</v>
      </c>
      <c r="M75" s="11">
        <f t="shared" si="76"/>
        <v>561793.55240000004</v>
      </c>
      <c r="N75" s="11">
        <f t="shared" si="77"/>
        <v>567411.48792400002</v>
      </c>
      <c r="O75" s="11">
        <f t="shared" si="78"/>
        <v>573085.60280324006</v>
      </c>
      <c r="P75" s="11">
        <f>SUM(K75:O75)</f>
        <v>2809245.88312724</v>
      </c>
      <c r="Q75" s="1"/>
      <c r="R75" s="11">
        <f t="shared" si="58"/>
        <v>550724</v>
      </c>
      <c r="S75" s="11">
        <f t="shared" si="88"/>
        <v>556231.24</v>
      </c>
      <c r="T75" s="11">
        <f t="shared" si="89"/>
        <v>561793.55240000004</v>
      </c>
      <c r="U75" s="11">
        <f t="shared" si="90"/>
        <v>567411.48792400002</v>
      </c>
      <c r="V75" s="11">
        <f t="shared" si="91"/>
        <v>573085.60280324006</v>
      </c>
      <c r="W75" s="11">
        <f>SUM(R75:V75)</f>
        <v>2809245.88312724</v>
      </c>
      <c r="X75" s="83">
        <f>((1-+R75/S75)+(1-S75/T75)+(1-T75/U75)+(1-+U75/V75))/4</f>
        <v>9.9009900990099375E-3</v>
      </c>
      <c r="Y75" s="85">
        <f>1-H75/W75</f>
        <v>0.80396020038411997</v>
      </c>
    </row>
    <row r="76" spans="2:25" s="88" customFormat="1" ht="15">
      <c r="B76" s="93" t="s">
        <v>96</v>
      </c>
      <c r="C76" s="12"/>
      <c r="D76" s="12"/>
      <c r="E76" s="12"/>
      <c r="F76" s="12"/>
      <c r="G76" s="12"/>
      <c r="H76" s="10"/>
      <c r="I76" s="83"/>
      <c r="J76" s="1"/>
      <c r="K76" s="11"/>
      <c r="L76" s="11">
        <f t="shared" si="75"/>
        <v>0</v>
      </c>
      <c r="M76" s="11">
        <f t="shared" si="76"/>
        <v>0</v>
      </c>
      <c r="N76" s="11">
        <f t="shared" si="77"/>
        <v>0</v>
      </c>
      <c r="O76" s="11">
        <f t="shared" si="78"/>
        <v>0</v>
      </c>
      <c r="P76" s="11"/>
      <c r="Q76" s="1"/>
      <c r="R76" s="11">
        <f t="shared" si="58"/>
        <v>0</v>
      </c>
      <c r="S76" s="11">
        <f t="shared" si="88"/>
        <v>0</v>
      </c>
      <c r="T76" s="11">
        <f t="shared" si="89"/>
        <v>0</v>
      </c>
      <c r="U76" s="11">
        <f t="shared" si="90"/>
        <v>0</v>
      </c>
      <c r="V76" s="11">
        <f t="shared" si="91"/>
        <v>0</v>
      </c>
      <c r="W76" s="11"/>
      <c r="X76" s="83"/>
      <c r="Y76" s="85"/>
    </row>
    <row r="77" spans="2:25" s="88" customFormat="1" ht="15">
      <c r="B77" s="93" t="s">
        <v>26</v>
      </c>
      <c r="C77" s="9">
        <v>70404</v>
      </c>
      <c r="D77" s="9">
        <v>80451</v>
      </c>
      <c r="E77" s="9">
        <v>82060</v>
      </c>
      <c r="F77" s="9">
        <v>83500</v>
      </c>
      <c r="G77" s="9">
        <v>83500</v>
      </c>
      <c r="H77" s="10">
        <f t="shared" si="51"/>
        <v>399915</v>
      </c>
      <c r="I77" s="83">
        <f t="shared" ref="I77:I81" si="94">((1-+C77/D77)+(1-D77/E77)+(1-E77/F77)+(1-+F77/G77))/4</f>
        <v>4.0434145653779174E-2</v>
      </c>
      <c r="J77" s="1"/>
      <c r="K77" s="11">
        <v>87675</v>
      </c>
      <c r="L77" s="11">
        <f t="shared" si="75"/>
        <v>91220.063720195089</v>
      </c>
      <c r="M77" s="11">
        <f t="shared" si="76"/>
        <v>94908.46906320448</v>
      </c>
      <c r="N77" s="11">
        <f t="shared" si="77"/>
        <v>98746.011925083279</v>
      </c>
      <c r="O77" s="11">
        <f t="shared" si="78"/>
        <v>102738.72255399192</v>
      </c>
      <c r="P77" s="11">
        <f t="shared" si="57"/>
        <v>475288.26726247475</v>
      </c>
      <c r="Q77" s="1"/>
      <c r="R77" s="11">
        <f t="shared" si="58"/>
        <v>87675</v>
      </c>
      <c r="S77" s="11">
        <f t="shared" si="88"/>
        <v>91220.063720195089</v>
      </c>
      <c r="T77" s="11">
        <f t="shared" si="89"/>
        <v>94908.46906320448</v>
      </c>
      <c r="U77" s="11">
        <f t="shared" si="90"/>
        <v>98746.011925083279</v>
      </c>
      <c r="V77" s="11">
        <f t="shared" si="91"/>
        <v>102738.72255399192</v>
      </c>
      <c r="W77" s="11">
        <f t="shared" si="63"/>
        <v>475288.26726247475</v>
      </c>
      <c r="X77" s="83">
        <f t="shared" ref="X77:X81" si="95">((1-+R77/S77)+(1-S77/T77)+(1-T77/U77)+(1-+U77/V77))/4</f>
        <v>3.8862763032802533E-2</v>
      </c>
      <c r="Y77" s="85">
        <f t="shared" si="65"/>
        <v>0.15858432125119215</v>
      </c>
    </row>
    <row r="78" spans="2:25" s="88" customFormat="1" ht="15">
      <c r="B78" s="93" t="s">
        <v>27</v>
      </c>
      <c r="C78" s="9">
        <v>3360</v>
      </c>
      <c r="D78" s="9">
        <v>3360</v>
      </c>
      <c r="E78" s="9">
        <v>4100</v>
      </c>
      <c r="F78" s="9">
        <v>4410</v>
      </c>
      <c r="G78" s="9">
        <v>4500</v>
      </c>
      <c r="H78" s="10">
        <f t="shared" si="51"/>
        <v>19730</v>
      </c>
      <c r="I78" s="83">
        <f t="shared" si="94"/>
        <v>6.7695647364636929E-2</v>
      </c>
      <c r="J78" s="1"/>
      <c r="K78" s="11">
        <v>4545</v>
      </c>
      <c r="L78" s="11">
        <f t="shared" si="75"/>
        <v>4852.6767172722748</v>
      </c>
      <c r="M78" s="11">
        <f t="shared" si="76"/>
        <v>5181.1818090993229</v>
      </c>
      <c r="N78" s="11">
        <f t="shared" si="77"/>
        <v>5531.9252657801826</v>
      </c>
      <c r="O78" s="11">
        <f t="shared" si="78"/>
        <v>5906.4125278199635</v>
      </c>
      <c r="P78" s="11">
        <f t="shared" si="57"/>
        <v>26017.196319971743</v>
      </c>
      <c r="Q78" s="1"/>
      <c r="R78" s="11">
        <f t="shared" si="58"/>
        <v>4545</v>
      </c>
      <c r="S78" s="11">
        <f t="shared" si="88"/>
        <v>4852.6767172722748</v>
      </c>
      <c r="T78" s="11">
        <f t="shared" si="89"/>
        <v>5181.1818090993229</v>
      </c>
      <c r="U78" s="11">
        <f t="shared" si="90"/>
        <v>5531.9252657801826</v>
      </c>
      <c r="V78" s="11">
        <f t="shared" si="91"/>
        <v>5906.4125278199635</v>
      </c>
      <c r="W78" s="11">
        <f t="shared" si="63"/>
        <v>26017.196319971743</v>
      </c>
      <c r="X78" s="83">
        <f t="shared" si="95"/>
        <v>6.3403505981997954E-2</v>
      </c>
      <c r="Y78" s="85">
        <f t="shared" si="65"/>
        <v>0.2416554129295424</v>
      </c>
    </row>
    <row r="79" spans="2:25" s="88" customFormat="1" ht="15">
      <c r="B79" s="93" t="s">
        <v>28</v>
      </c>
      <c r="C79" s="9">
        <v>15580</v>
      </c>
      <c r="D79" s="9">
        <v>14500</v>
      </c>
      <c r="E79" s="9">
        <v>17800</v>
      </c>
      <c r="F79" s="9">
        <v>19788</v>
      </c>
      <c r="G79" s="9">
        <v>21800</v>
      </c>
      <c r="H79" s="10">
        <f t="shared" si="51"/>
        <v>89468</v>
      </c>
      <c r="I79" s="83">
        <f t="shared" si="94"/>
        <v>7.5917251506816219E-2</v>
      </c>
      <c r="J79" s="1"/>
      <c r="K79" s="11">
        <v>23762</v>
      </c>
      <c r="L79" s="11">
        <f t="shared" si="75"/>
        <v>25565.945730304968</v>
      </c>
      <c r="M79" s="11">
        <f t="shared" si="76"/>
        <v>27506.842062322143</v>
      </c>
      <c r="N79" s="11">
        <f t="shared" si="77"/>
        <v>29595.085909325724</v>
      </c>
      <c r="O79" s="11">
        <f t="shared" si="78"/>
        <v>31841.863489669839</v>
      </c>
      <c r="P79" s="11">
        <f t="shared" si="57"/>
        <v>138271.73719162267</v>
      </c>
      <c r="Q79" s="1"/>
      <c r="R79" s="11">
        <f t="shared" si="58"/>
        <v>23762</v>
      </c>
      <c r="S79" s="11">
        <f t="shared" si="88"/>
        <v>25565.945730304968</v>
      </c>
      <c r="T79" s="11">
        <f t="shared" si="89"/>
        <v>27506.842062322143</v>
      </c>
      <c r="U79" s="11">
        <f t="shared" si="90"/>
        <v>29595.085909325724</v>
      </c>
      <c r="V79" s="11">
        <f t="shared" si="91"/>
        <v>31841.863489669839</v>
      </c>
      <c r="W79" s="11">
        <f t="shared" si="63"/>
        <v>138271.73719162267</v>
      </c>
      <c r="X79" s="83">
        <f t="shared" si="95"/>
        <v>7.0560492826464594E-2</v>
      </c>
      <c r="Y79" s="85">
        <f t="shared" si="65"/>
        <v>0.35295526173934189</v>
      </c>
    </row>
    <row r="80" spans="2:25" s="88" customFormat="1" ht="15">
      <c r="B80" s="93" t="s">
        <v>29</v>
      </c>
      <c r="C80" s="12">
        <v>13400</v>
      </c>
      <c r="D80" s="12">
        <v>11500</v>
      </c>
      <c r="E80" s="12">
        <v>12800</v>
      </c>
      <c r="F80" s="12">
        <v>12540</v>
      </c>
      <c r="G80" s="12">
        <v>12800</v>
      </c>
      <c r="H80" s="10">
        <f t="shared" si="51"/>
        <v>63040</v>
      </c>
      <c r="I80" s="83">
        <f t="shared" si="94"/>
        <v>-1.6019010904236852E-2</v>
      </c>
      <c r="J80" s="1"/>
      <c r="K80" s="11">
        <v>12800</v>
      </c>
      <c r="L80" s="11">
        <f t="shared" si="75"/>
        <v>12594.956660425769</v>
      </c>
      <c r="M80" s="11">
        <f t="shared" si="76"/>
        <v>12393.197912344018</v>
      </c>
      <c r="N80" s="11">
        <f t="shared" si="77"/>
        <v>12194.671139847813</v>
      </c>
      <c r="O80" s="11">
        <f t="shared" si="78"/>
        <v>11999.324569885008</v>
      </c>
      <c r="P80" s="11">
        <f t="shared" si="57"/>
        <v>61982.150282502611</v>
      </c>
      <c r="Q80" s="1"/>
      <c r="R80" s="11">
        <f t="shared" si="58"/>
        <v>12800</v>
      </c>
      <c r="S80" s="11">
        <f t="shared" si="88"/>
        <v>12594.956660425769</v>
      </c>
      <c r="T80" s="11">
        <f t="shared" si="89"/>
        <v>12393.197912344018</v>
      </c>
      <c r="U80" s="11">
        <f t="shared" si="90"/>
        <v>12194.671139847813</v>
      </c>
      <c r="V80" s="11">
        <f t="shared" si="91"/>
        <v>11999.324569885008</v>
      </c>
      <c r="W80" s="11">
        <f t="shared" si="63"/>
        <v>61982.150282502611</v>
      </c>
      <c r="X80" s="83">
        <f t="shared" si="95"/>
        <v>-1.627979715233896E-2</v>
      </c>
      <c r="Y80" s="85">
        <f t="shared" si="65"/>
        <v>-1.706700578595477E-2</v>
      </c>
    </row>
    <row r="81" spans="2:25" s="88" customFormat="1" ht="15">
      <c r="B81" s="93" t="s">
        <v>30</v>
      </c>
      <c r="C81" s="9">
        <v>44734</v>
      </c>
      <c r="D81" s="9">
        <v>42311</v>
      </c>
      <c r="E81" s="9">
        <v>43226</v>
      </c>
      <c r="F81" s="9">
        <v>44538</v>
      </c>
      <c r="G81" s="9">
        <v>48000</v>
      </c>
      <c r="H81" s="10">
        <f t="shared" si="51"/>
        <v>222809</v>
      </c>
      <c r="I81" s="83">
        <f t="shared" si="94"/>
        <v>1.6371093674612203E-2</v>
      </c>
      <c r="J81" s="1"/>
      <c r="K81" s="11">
        <v>48000</v>
      </c>
      <c r="L81" s="11">
        <f t="shared" si="75"/>
        <v>48785.812496381383</v>
      </c>
      <c r="M81" s="11">
        <f t="shared" si="76"/>
        <v>49584.48960275171</v>
      </c>
      <c r="N81" s="11">
        <f t="shared" si="77"/>
        <v>50396.241926846196</v>
      </c>
      <c r="O81" s="11">
        <f t="shared" si="78"/>
        <v>51221.283524279017</v>
      </c>
      <c r="P81" s="11">
        <f t="shared" si="57"/>
        <v>247987.82755025831</v>
      </c>
      <c r="Q81" s="1"/>
      <c r="R81" s="11">
        <f t="shared" si="58"/>
        <v>48000</v>
      </c>
      <c r="S81" s="11">
        <f t="shared" si="88"/>
        <v>48785.812496381383</v>
      </c>
      <c r="T81" s="11">
        <f t="shared" si="89"/>
        <v>49584.48960275171</v>
      </c>
      <c r="U81" s="11">
        <f t="shared" si="90"/>
        <v>50396.241926846196</v>
      </c>
      <c r="V81" s="11">
        <f t="shared" si="91"/>
        <v>51221.283524279017</v>
      </c>
      <c r="W81" s="11">
        <f t="shared" si="63"/>
        <v>247987.82755025831</v>
      </c>
      <c r="X81" s="83">
        <f t="shared" si="95"/>
        <v>1.6107397953855379E-2</v>
      </c>
      <c r="Y81" s="85">
        <f t="shared" si="65"/>
        <v>0.10153251391000417</v>
      </c>
    </row>
    <row r="82" spans="2:25" s="88" customFormat="1" ht="15">
      <c r="B82" s="93" t="s">
        <v>97</v>
      </c>
      <c r="C82" s="9"/>
      <c r="D82" s="9"/>
      <c r="E82" s="9"/>
      <c r="F82" s="9"/>
      <c r="G82" s="9">
        <v>447</v>
      </c>
      <c r="H82" s="10">
        <f t="shared" si="51"/>
        <v>447</v>
      </c>
      <c r="I82" s="83">
        <v>0.05</v>
      </c>
      <c r="J82" s="1"/>
      <c r="K82" s="11">
        <v>447</v>
      </c>
      <c r="L82" s="11">
        <f t="shared" si="75"/>
        <v>469.35</v>
      </c>
      <c r="M82" s="11">
        <f t="shared" si="76"/>
        <v>492.8175</v>
      </c>
      <c r="N82" s="11">
        <f t="shared" si="77"/>
        <v>517.45837500000005</v>
      </c>
      <c r="O82" s="11">
        <f t="shared" si="78"/>
        <v>543.3312937500001</v>
      </c>
      <c r="P82" s="11">
        <f t="shared" si="57"/>
        <v>2469.9571687500002</v>
      </c>
      <c r="Q82" s="1"/>
      <c r="R82" s="11">
        <f t="shared" si="58"/>
        <v>447</v>
      </c>
      <c r="S82" s="11">
        <f t="shared" si="88"/>
        <v>469.35</v>
      </c>
      <c r="T82" s="11">
        <f t="shared" si="89"/>
        <v>492.8175</v>
      </c>
      <c r="U82" s="11">
        <f t="shared" si="90"/>
        <v>517.45837500000005</v>
      </c>
      <c r="V82" s="11">
        <f t="shared" si="91"/>
        <v>543.3312937500001</v>
      </c>
      <c r="W82" s="11"/>
      <c r="X82" s="83"/>
      <c r="Y82" s="85"/>
    </row>
    <row r="83" spans="2:25" s="88" customFormat="1" ht="15">
      <c r="B83" s="93" t="s">
        <v>98</v>
      </c>
      <c r="C83" s="9"/>
      <c r="D83" s="9"/>
      <c r="E83" s="9"/>
      <c r="F83" s="9"/>
      <c r="G83" s="9">
        <v>132</v>
      </c>
      <c r="H83" s="10">
        <f t="shared" si="51"/>
        <v>132</v>
      </c>
      <c r="I83" s="83">
        <v>0.05</v>
      </c>
      <c r="J83" s="1"/>
      <c r="K83" s="11">
        <v>132</v>
      </c>
      <c r="L83" s="11">
        <f t="shared" si="75"/>
        <v>138.6</v>
      </c>
      <c r="M83" s="11">
        <f t="shared" si="76"/>
        <v>145.53</v>
      </c>
      <c r="N83" s="11">
        <f t="shared" si="77"/>
        <v>152.8065</v>
      </c>
      <c r="O83" s="11">
        <f t="shared" si="78"/>
        <v>160.44682499999999</v>
      </c>
      <c r="P83" s="11">
        <f t="shared" si="57"/>
        <v>729.38332500000001</v>
      </c>
      <c r="Q83" s="1"/>
      <c r="R83" s="11">
        <f t="shared" si="58"/>
        <v>132</v>
      </c>
      <c r="S83" s="11">
        <f t="shared" si="88"/>
        <v>138.6</v>
      </c>
      <c r="T83" s="11">
        <f t="shared" si="89"/>
        <v>145.53</v>
      </c>
      <c r="U83" s="11">
        <f t="shared" si="90"/>
        <v>152.8065</v>
      </c>
      <c r="V83" s="11">
        <f t="shared" si="91"/>
        <v>160.44682499999999</v>
      </c>
      <c r="W83" s="11"/>
      <c r="X83" s="83"/>
      <c r="Y83" s="85"/>
    </row>
    <row r="84" spans="2:25" s="88" customFormat="1" ht="15">
      <c r="B84" s="93" t="s">
        <v>99</v>
      </c>
      <c r="C84" s="9"/>
      <c r="D84" s="9"/>
      <c r="E84" s="9"/>
      <c r="F84" s="9"/>
      <c r="G84" s="9">
        <v>696</v>
      </c>
      <c r="H84" s="10">
        <f t="shared" si="51"/>
        <v>696</v>
      </c>
      <c r="I84" s="83">
        <v>0.05</v>
      </c>
      <c r="J84" s="1"/>
      <c r="K84" s="11">
        <v>750</v>
      </c>
      <c r="L84" s="11">
        <f t="shared" si="75"/>
        <v>787.5</v>
      </c>
      <c r="M84" s="11">
        <f t="shared" si="76"/>
        <v>826.875</v>
      </c>
      <c r="N84" s="11">
        <f t="shared" si="77"/>
        <v>868.21875</v>
      </c>
      <c r="O84" s="11">
        <f t="shared" si="78"/>
        <v>911.62968750000005</v>
      </c>
      <c r="P84" s="11">
        <f t="shared" si="57"/>
        <v>4144.2234374999998</v>
      </c>
      <c r="Q84" s="1"/>
      <c r="R84" s="11">
        <f t="shared" si="58"/>
        <v>750</v>
      </c>
      <c r="S84" s="11">
        <f t="shared" si="88"/>
        <v>787.5</v>
      </c>
      <c r="T84" s="11">
        <f t="shared" si="89"/>
        <v>826.875</v>
      </c>
      <c r="U84" s="11">
        <f t="shared" si="90"/>
        <v>868.21875</v>
      </c>
      <c r="V84" s="11">
        <f t="shared" si="91"/>
        <v>911.62968750000005</v>
      </c>
      <c r="W84" s="11"/>
      <c r="X84" s="83"/>
      <c r="Y84" s="85"/>
    </row>
    <row r="85" spans="2:25" s="88" customFormat="1" ht="15">
      <c r="B85" s="93" t="s">
        <v>21</v>
      </c>
      <c r="C85" s="9">
        <v>0</v>
      </c>
      <c r="D85" s="9">
        <v>8750</v>
      </c>
      <c r="E85" s="9">
        <v>10514</v>
      </c>
      <c r="F85" s="9">
        <v>8750</v>
      </c>
      <c r="G85" s="9">
        <v>8800</v>
      </c>
      <c r="H85" s="10">
        <f>SUM(C85:G85)</f>
        <v>36814</v>
      </c>
      <c r="I85" s="83">
        <v>0.01</v>
      </c>
      <c r="J85" s="1"/>
      <c r="K85" s="11">
        <v>8976</v>
      </c>
      <c r="L85" s="11">
        <f t="shared" si="75"/>
        <v>9065.76</v>
      </c>
      <c r="M85" s="11">
        <f t="shared" si="76"/>
        <v>9156.4176000000007</v>
      </c>
      <c r="N85" s="11">
        <f t="shared" si="77"/>
        <v>9247.9817760000005</v>
      </c>
      <c r="O85" s="11">
        <f t="shared" si="78"/>
        <v>9340.4615937600011</v>
      </c>
      <c r="P85" s="11">
        <f>SUM(K85:O85)</f>
        <v>45786.620969760006</v>
      </c>
      <c r="Q85" s="1"/>
      <c r="R85" s="11">
        <f t="shared" si="58"/>
        <v>8976</v>
      </c>
      <c r="S85" s="11">
        <f t="shared" si="88"/>
        <v>9065.76</v>
      </c>
      <c r="T85" s="11">
        <f t="shared" si="89"/>
        <v>9156.4176000000007</v>
      </c>
      <c r="U85" s="11">
        <f t="shared" si="90"/>
        <v>9247.9817760000005</v>
      </c>
      <c r="V85" s="11">
        <f t="shared" si="91"/>
        <v>9340.4615937600011</v>
      </c>
      <c r="W85" s="11">
        <f>SUM(R85:V85)</f>
        <v>45786.620969760006</v>
      </c>
      <c r="X85" s="83">
        <v>0.01</v>
      </c>
      <c r="Y85" s="85">
        <f>1-H85/W85</f>
        <v>0.19596600010483445</v>
      </c>
    </row>
    <row r="86" spans="2:25" s="88" customFormat="1" ht="15">
      <c r="B86" s="8" t="s">
        <v>22</v>
      </c>
      <c r="C86" s="9">
        <v>33500</v>
      </c>
      <c r="D86" s="9">
        <v>33500</v>
      </c>
      <c r="E86" s="9">
        <v>33500</v>
      </c>
      <c r="F86" s="9">
        <v>33500</v>
      </c>
      <c r="G86" s="9">
        <v>33500</v>
      </c>
      <c r="H86" s="10">
        <f>SUM(C86:G86)</f>
        <v>167500</v>
      </c>
      <c r="I86" s="83">
        <v>0.01</v>
      </c>
      <c r="J86" s="1"/>
      <c r="K86" s="11">
        <v>33835</v>
      </c>
      <c r="L86" s="11">
        <f t="shared" si="75"/>
        <v>34173.35</v>
      </c>
      <c r="M86" s="11">
        <f t="shared" si="76"/>
        <v>34515.083500000001</v>
      </c>
      <c r="N86" s="11">
        <f t="shared" si="77"/>
        <v>34860.234335000001</v>
      </c>
      <c r="O86" s="11">
        <f t="shared" si="78"/>
        <v>35208.836678350002</v>
      </c>
      <c r="P86" s="11">
        <f>SUM(K86:O86)</f>
        <v>172592.50451335002</v>
      </c>
      <c r="Q86" s="1"/>
      <c r="R86" s="11">
        <f>K86</f>
        <v>33835</v>
      </c>
      <c r="S86" s="11">
        <f t="shared" si="88"/>
        <v>34173.35</v>
      </c>
      <c r="T86" s="11">
        <f t="shared" si="89"/>
        <v>34515.083500000001</v>
      </c>
      <c r="U86" s="11">
        <f t="shared" si="90"/>
        <v>34860.234335000001</v>
      </c>
      <c r="V86" s="11">
        <f t="shared" si="91"/>
        <v>35208.836678350002</v>
      </c>
      <c r="W86" s="11">
        <f>SUM(R86:V86)</f>
        <v>172592.50451335002</v>
      </c>
      <c r="X86" s="83">
        <v>0.01</v>
      </c>
      <c r="Y86" s="85">
        <f>1-H86/W86</f>
        <v>2.9505942495643644E-2</v>
      </c>
    </row>
    <row r="87" spans="2:25" s="88" customFormat="1">
      <c r="B87" s="13" t="s">
        <v>31</v>
      </c>
      <c r="C87" s="14">
        <f t="shared" ref="C87:H87" si="96">SUM(C53:C81)</f>
        <v>5450290</v>
      </c>
      <c r="D87" s="14">
        <f t="shared" si="96"/>
        <v>4834798</v>
      </c>
      <c r="E87" s="14">
        <f t="shared" si="96"/>
        <v>5687657</v>
      </c>
      <c r="F87" s="14">
        <f t="shared" si="96"/>
        <v>6021082.669999999</v>
      </c>
      <c r="G87" s="14">
        <f t="shared" si="96"/>
        <v>6415924</v>
      </c>
      <c r="H87" s="14">
        <f t="shared" si="96"/>
        <v>28409751.670000002</v>
      </c>
      <c r="I87" s="79"/>
      <c r="J87" s="1"/>
      <c r="K87" s="14">
        <f>SUM(K53:K86)</f>
        <v>6566872.2120744577</v>
      </c>
      <c r="L87" s="14">
        <f t="shared" ref="L87:P87" si="97">SUM(L53:L81)</f>
        <v>6602446.1384225218</v>
      </c>
      <c r="M87" s="14">
        <f t="shared" si="97"/>
        <v>6692517.4928344069</v>
      </c>
      <c r="N87" s="14">
        <f t="shared" si="97"/>
        <v>6790020.8531894768</v>
      </c>
      <c r="O87" s="14">
        <f t="shared" si="97"/>
        <v>6895198.7348479945</v>
      </c>
      <c r="P87" s="14">
        <f t="shared" si="97"/>
        <v>33502915.43136885</v>
      </c>
      <c r="Q87" s="1"/>
      <c r="R87" s="14">
        <f t="shared" ref="R87:W87" si="98">SUM(R53:R81)</f>
        <v>6588374.5254077911</v>
      </c>
      <c r="S87" s="14">
        <f t="shared" si="98"/>
        <v>7630698.5848307842</v>
      </c>
      <c r="T87" s="14">
        <f t="shared" si="98"/>
        <v>8230522.8290768126</v>
      </c>
      <c r="U87" s="14">
        <f t="shared" si="98"/>
        <v>8626982.2537949309</v>
      </c>
      <c r="V87" s="14">
        <f t="shared" si="98"/>
        <v>8853014.1722911708</v>
      </c>
      <c r="W87" s="14">
        <f t="shared" si="98"/>
        <v>39929592.365401484</v>
      </c>
      <c r="X87" s="79"/>
      <c r="Y87" s="1"/>
    </row>
    <row r="88" spans="2:25" s="88" customFormat="1" ht="15">
      <c r="B88" s="15"/>
      <c r="C88" s="16">
        <f>1-+C87/G87</f>
        <v>0.15050583516887051</v>
      </c>
      <c r="D88" s="17">
        <f>1-+C87/D87</f>
        <v>-0.12730459473177569</v>
      </c>
      <c r="E88" s="17">
        <f>1-D87/E87</f>
        <v>0.14994909151518809</v>
      </c>
      <c r="F88" s="17">
        <f>1-E87/F87</f>
        <v>5.5376364729434746E-2</v>
      </c>
      <c r="G88" s="17">
        <f>1-+F87/G87</f>
        <v>6.1540836518637176E-2</v>
      </c>
      <c r="H88" s="18"/>
      <c r="I88" s="18"/>
      <c r="J88" s="1"/>
      <c r="K88" s="19"/>
      <c r="L88" s="19"/>
      <c r="M88" s="1"/>
      <c r="N88" s="1"/>
      <c r="O88" s="1"/>
      <c r="P88" s="87"/>
      <c r="Q88" s="1"/>
      <c r="R88" s="1"/>
      <c r="S88" s="1"/>
      <c r="T88" s="1"/>
      <c r="U88" s="1"/>
      <c r="V88" s="1"/>
      <c r="W88" s="86">
        <f>1-P87/W87</f>
        <v>0.16095022646916057</v>
      </c>
      <c r="X88" s="18"/>
      <c r="Y88" s="1"/>
    </row>
    <row r="89" spans="2:25" s="88" customFormat="1">
      <c r="B89" s="304" t="s">
        <v>133</v>
      </c>
      <c r="C89" s="304"/>
      <c r="D89" s="304"/>
      <c r="E89" s="304"/>
      <c r="F89" s="304"/>
      <c r="G89" s="304"/>
      <c r="H89" s="304"/>
      <c r="I89" s="18"/>
      <c r="J89" s="1"/>
      <c r="K89" s="1"/>
      <c r="L89" s="1"/>
      <c r="M89" s="1"/>
      <c r="N89" s="1"/>
      <c r="O89" s="1"/>
      <c r="P89" s="1"/>
      <c r="Q89" s="1"/>
      <c r="R89" s="1"/>
      <c r="S89" s="1"/>
      <c r="T89" s="1"/>
      <c r="U89" s="1"/>
      <c r="V89" s="1"/>
      <c r="W89" s="1"/>
      <c r="X89" s="18"/>
      <c r="Y89" s="1"/>
    </row>
    <row r="90" spans="2:25" s="88" customFormat="1" ht="15">
      <c r="B90" s="8" t="s">
        <v>32</v>
      </c>
      <c r="C90" s="12">
        <v>1860030</v>
      </c>
      <c r="D90" s="12">
        <v>1861346</v>
      </c>
      <c r="E90" s="12">
        <v>1949858</v>
      </c>
      <c r="F90" s="12">
        <v>2020189</v>
      </c>
      <c r="G90" s="12">
        <v>2110191</v>
      </c>
      <c r="H90" s="10">
        <f>SUM(C90:G90)</f>
        <v>9801614</v>
      </c>
      <c r="I90" s="83">
        <f t="shared" ref="I90:I94" si="99">((1-+C90/D90)+(1-D90/E90)+(1-E90/F90)+(1-+F90/G90))/4</f>
        <v>3.0891568735239794E-2</v>
      </c>
      <c r="J90" s="1"/>
      <c r="K90" s="12">
        <v>2215700.5500000003</v>
      </c>
      <c r="L90" s="12">
        <v>2326485.5775000006</v>
      </c>
      <c r="M90" s="12">
        <v>2442809.8563750009</v>
      </c>
      <c r="N90" s="12">
        <v>2564950.3491937509</v>
      </c>
      <c r="O90" s="12">
        <v>2693197.8666534387</v>
      </c>
      <c r="P90" s="12">
        <f t="shared" ref="P90:P94" si="100">SUM(K90:O90)</f>
        <v>12243144.199722193</v>
      </c>
      <c r="Q90" s="1"/>
      <c r="R90" s="12">
        <v>2215700.5500000003</v>
      </c>
      <c r="S90" s="12">
        <v>2370799.5885000005</v>
      </c>
      <c r="T90" s="12">
        <v>2607879.5473500006</v>
      </c>
      <c r="U90" s="12">
        <v>3129455.4568200004</v>
      </c>
      <c r="V90" s="12">
        <v>3755346.5481840004</v>
      </c>
      <c r="W90" s="12">
        <f t="shared" ref="W90:W94" si="101">SUM(R90:V90)</f>
        <v>14079181.690854002</v>
      </c>
      <c r="X90" s="83">
        <f t="shared" ref="X90:X94" si="102">((1-+R90/S90)+(1-S90/T90)+(1-T90/U90)+(1-+U90/V90))/4</f>
        <v>0.12241574624752197</v>
      </c>
      <c r="Y90" s="1"/>
    </row>
    <row r="91" spans="2:25" s="88" customFormat="1" ht="15">
      <c r="B91" s="8" t="s">
        <v>33</v>
      </c>
      <c r="C91" s="12">
        <v>3406693</v>
      </c>
      <c r="D91" s="12">
        <v>4637164</v>
      </c>
      <c r="E91" s="12">
        <v>4080037</v>
      </c>
      <c r="F91" s="12">
        <v>4173921</v>
      </c>
      <c r="G91" s="12">
        <v>4601748</v>
      </c>
      <c r="H91" s="10">
        <f t="shared" ref="H91:H94" si="103">SUM(C91:G91)</f>
        <v>20899563</v>
      </c>
      <c r="I91" s="83">
        <f t="shared" si="99"/>
        <v>6.1065985444287652E-2</v>
      </c>
      <c r="J91" s="1"/>
      <c r="K91" s="12">
        <v>4831835.4000000004</v>
      </c>
      <c r="L91" s="12">
        <v>5073427.1700000009</v>
      </c>
      <c r="M91" s="12">
        <v>5327098.5285000009</v>
      </c>
      <c r="N91" s="12">
        <v>5593453.4549250016</v>
      </c>
      <c r="O91" s="12">
        <v>5873126.127671252</v>
      </c>
      <c r="P91" s="12">
        <f>SUM(K91:O91)</f>
        <v>26698940.681096256</v>
      </c>
      <c r="Q91" s="1"/>
      <c r="R91" s="12">
        <v>4831835.4000000004</v>
      </c>
      <c r="S91" s="12">
        <v>5170063.8780000005</v>
      </c>
      <c r="T91" s="12">
        <v>5687070.2658000011</v>
      </c>
      <c r="U91" s="12">
        <v>8530605.3987000026</v>
      </c>
      <c r="V91" s="12">
        <v>10236726.478440003</v>
      </c>
      <c r="W91" s="12">
        <f t="shared" si="101"/>
        <v>34456301.420940004</v>
      </c>
      <c r="X91" s="83">
        <f t="shared" si="102"/>
        <v>0.16408241291418868</v>
      </c>
      <c r="Y91" s="1"/>
    </row>
    <row r="92" spans="2:25" s="88" customFormat="1" ht="15">
      <c r="B92" s="8" t="s">
        <v>34</v>
      </c>
      <c r="C92" s="12">
        <v>1595240</v>
      </c>
      <c r="D92" s="12">
        <v>1754764</v>
      </c>
      <c r="E92" s="12">
        <v>1807407</v>
      </c>
      <c r="F92" s="12">
        <v>1881256</v>
      </c>
      <c r="G92" s="12">
        <v>4382617</v>
      </c>
      <c r="H92" s="10">
        <f t="shared" si="103"/>
        <v>11421284</v>
      </c>
      <c r="I92" s="83">
        <f t="shared" si="99"/>
        <v>0.18250911919142396</v>
      </c>
      <c r="J92" s="1"/>
      <c r="K92" s="12">
        <f>G92+G92*I92</f>
        <v>5182484.5684233606</v>
      </c>
      <c r="L92" s="12">
        <f>+K92+K92*$I$92</f>
        <v>6128335.2622294547</v>
      </c>
      <c r="M92" s="12">
        <f t="shared" ref="M92:O92" si="104">+L92+L92*$I$92</f>
        <v>7246812.3330486966</v>
      </c>
      <c r="N92" s="12">
        <f t="shared" si="104"/>
        <v>8569421.6688989624</v>
      </c>
      <c r="O92" s="12">
        <f t="shared" si="104"/>
        <v>10133419.269669615</v>
      </c>
      <c r="P92" s="12">
        <f t="shared" si="100"/>
        <v>37260473.102270089</v>
      </c>
      <c r="Q92" s="1"/>
      <c r="R92" s="12">
        <f>K92</f>
        <v>5182484.5684233606</v>
      </c>
      <c r="S92" s="12">
        <f>+R92+R92*35%</f>
        <v>6996354.1673715366</v>
      </c>
      <c r="T92" s="12">
        <f t="shared" ref="T92:V92" si="105">+S92+S92*35%</f>
        <v>9445078.1259515733</v>
      </c>
      <c r="U92" s="12">
        <f t="shared" si="105"/>
        <v>12750855.470034624</v>
      </c>
      <c r="V92" s="12">
        <f t="shared" si="105"/>
        <v>17213654.884546742</v>
      </c>
      <c r="W92" s="12">
        <f t="shared" si="101"/>
        <v>51588427.216327839</v>
      </c>
      <c r="X92" s="83">
        <f t="shared" si="102"/>
        <v>0.25925925925925919</v>
      </c>
      <c r="Y92" s="1"/>
    </row>
    <row r="93" spans="2:25" s="88" customFormat="1" ht="15">
      <c r="B93" s="8" t="s">
        <v>35</v>
      </c>
      <c r="C93" s="12">
        <v>62634358</v>
      </c>
      <c r="D93" s="12">
        <v>63141083</v>
      </c>
      <c r="E93" s="12">
        <v>74131365</v>
      </c>
      <c r="F93" s="12">
        <v>81651334</v>
      </c>
      <c r="G93" s="12">
        <v>90073236.666666642</v>
      </c>
      <c r="H93" s="10">
        <f t="shared" si="103"/>
        <v>371631376.66666663</v>
      </c>
      <c r="I93" s="83">
        <f t="shared" si="99"/>
        <v>8.5469645134798905E-2</v>
      </c>
      <c r="J93" s="1"/>
      <c r="K93" s="12">
        <v>94576898.5</v>
      </c>
      <c r="L93" s="12">
        <v>104034588.34999999</v>
      </c>
      <c r="M93" s="12">
        <v>114438047.18500002</v>
      </c>
      <c r="N93" s="12">
        <v>125881851.90350002</v>
      </c>
      <c r="O93" s="12">
        <v>138470037.09385005</v>
      </c>
      <c r="P93" s="12">
        <f t="shared" si="100"/>
        <v>577401423.03235006</v>
      </c>
      <c r="Q93" s="1"/>
      <c r="R93" s="12">
        <v>99080560.333333313</v>
      </c>
      <c r="S93" s="12">
        <v>110970227.57333332</v>
      </c>
      <c r="T93" s="12">
        <v>127615761.70933332</v>
      </c>
      <c r="U93" s="12">
        <v>146758125.96573332</v>
      </c>
      <c r="V93" s="12">
        <v>168771844.86059326</v>
      </c>
      <c r="W93" s="12">
        <f t="shared" si="101"/>
        <v>653196520.44232655</v>
      </c>
      <c r="X93" s="83">
        <f t="shared" si="102"/>
        <v>0.12461180124223595</v>
      </c>
      <c r="Y93" s="1"/>
    </row>
    <row r="94" spans="2:25" s="88" customFormat="1" ht="15">
      <c r="B94" s="8" t="s">
        <v>150</v>
      </c>
      <c r="C94" s="12">
        <v>13105989.18</v>
      </c>
      <c r="D94" s="12">
        <v>13271629</v>
      </c>
      <c r="E94" s="12">
        <v>13024554.466666667</v>
      </c>
      <c r="F94" s="12">
        <v>15700093</v>
      </c>
      <c r="G94" s="12">
        <v>18250913.399999999</v>
      </c>
      <c r="H94" s="10">
        <f t="shared" si="103"/>
        <v>73353179.046666667</v>
      </c>
      <c r="I94" s="83">
        <f t="shared" si="99"/>
        <v>7.5922571418821666E-2</v>
      </c>
      <c r="J94" s="1"/>
      <c r="K94" s="12">
        <v>19163459.07</v>
      </c>
      <c r="L94" s="12">
        <v>21079804.977000002</v>
      </c>
      <c r="M94" s="12">
        <v>23187785.474700004</v>
      </c>
      <c r="N94" s="12">
        <v>25506564.022170007</v>
      </c>
      <c r="O94" s="12">
        <v>28057220.424387012</v>
      </c>
      <c r="P94" s="12">
        <f t="shared" si="100"/>
        <v>116994833.96825702</v>
      </c>
      <c r="Q94" s="1"/>
      <c r="R94" s="12">
        <v>20076004.739999998</v>
      </c>
      <c r="S94" s="12">
        <v>22083605.214000002</v>
      </c>
      <c r="T94" s="12">
        <v>24291965.735400002</v>
      </c>
      <c r="U94" s="12">
        <v>26721162.308940005</v>
      </c>
      <c r="V94" s="12">
        <v>29393278.539834008</v>
      </c>
      <c r="W94" s="12">
        <f t="shared" si="101"/>
        <v>122566016.53817402</v>
      </c>
      <c r="X94" s="83">
        <f t="shared" si="102"/>
        <v>9.0909090909090967E-2</v>
      </c>
      <c r="Y94" s="1"/>
    </row>
    <row r="95" spans="2:25" s="88" customFormat="1">
      <c r="B95" s="13" t="s">
        <v>36</v>
      </c>
      <c r="C95" s="20">
        <f>SUM(C90:C93)</f>
        <v>69496321</v>
      </c>
      <c r="D95" s="20">
        <f t="shared" ref="D95:G95" si="106">SUM(D90:D93)</f>
        <v>71394357</v>
      </c>
      <c r="E95" s="20">
        <f>SUM(E90:E93)</f>
        <v>81968667</v>
      </c>
      <c r="F95" s="20">
        <f t="shared" si="106"/>
        <v>89726700</v>
      </c>
      <c r="G95" s="20">
        <f t="shared" si="106"/>
        <v>101167792.66666664</v>
      </c>
      <c r="H95" s="14">
        <f>SUM(H90:H93)</f>
        <v>413753837.66666663</v>
      </c>
      <c r="I95" s="79"/>
      <c r="J95" s="1"/>
      <c r="K95" s="20">
        <f>SUM(K90:K93)</f>
        <v>106806919.01842336</v>
      </c>
      <c r="L95" s="20">
        <f t="shared" ref="L95" si="107">SUM(L90:L93)</f>
        <v>117562836.35972945</v>
      </c>
      <c r="M95" s="20">
        <f t="shared" ref="M95" si="108">SUM(M90:M93)</f>
        <v>129454767.90292372</v>
      </c>
      <c r="N95" s="20">
        <f t="shared" ref="N95" si="109">SUM(N90:N93)</f>
        <v>142609677.37651774</v>
      </c>
      <c r="O95" s="20">
        <f t="shared" ref="O95" si="110">SUM(O90:O93)</f>
        <v>157169780.35784435</v>
      </c>
      <c r="P95" s="20">
        <f t="shared" ref="P95" si="111">SUM(P90:P93)</f>
        <v>653603981.01543856</v>
      </c>
      <c r="Q95" s="1"/>
      <c r="R95" s="20">
        <f>SUM(R90:R93)</f>
        <v>111310580.85175668</v>
      </c>
      <c r="S95" s="20">
        <f t="shared" ref="S95" si="112">SUM(S90:S93)</f>
        <v>125507445.20720486</v>
      </c>
      <c r="T95" s="20">
        <f t="shared" ref="T95" si="113">SUM(T90:T93)</f>
        <v>145355789.64843488</v>
      </c>
      <c r="U95" s="20">
        <f t="shared" ref="U95" si="114">SUM(U90:U93)</f>
        <v>171169042.29128796</v>
      </c>
      <c r="V95" s="20">
        <f t="shared" ref="V95" si="115">SUM(V90:V93)</f>
        <v>199977572.77176401</v>
      </c>
      <c r="W95" s="20">
        <f t="shared" ref="W95" si="116">SUM(W90:W93)</f>
        <v>753320430.77044845</v>
      </c>
      <c r="X95" s="1"/>
      <c r="Y95" s="1"/>
    </row>
    <row r="96" spans="2:25" s="88" customFormat="1" ht="15">
      <c r="B96" s="89"/>
      <c r="C96" s="90"/>
      <c r="D96" s="90"/>
      <c r="E96" s="90"/>
      <c r="F96" s="90"/>
      <c r="G96" s="90"/>
      <c r="H96" s="82"/>
      <c r="I96" s="82"/>
    </row>
    <row r="97" spans="2:9" s="88" customFormat="1" ht="15">
      <c r="B97" s="89"/>
      <c r="C97" s="90"/>
      <c r="D97" s="90"/>
      <c r="E97" s="90"/>
      <c r="F97" s="90"/>
      <c r="G97" s="90"/>
      <c r="H97" s="82"/>
      <c r="I97" s="82"/>
    </row>
    <row r="98" spans="2:9" s="88" customFormat="1" ht="15">
      <c r="B98" s="89"/>
      <c r="C98" s="90"/>
      <c r="D98" s="90"/>
      <c r="E98" s="90"/>
      <c r="F98" s="90"/>
      <c r="G98" s="90"/>
      <c r="H98" s="82"/>
      <c r="I98" s="82"/>
    </row>
    <row r="99" spans="2:9" s="88" customFormat="1" ht="15">
      <c r="B99" s="303" t="s">
        <v>129</v>
      </c>
      <c r="C99" s="303"/>
      <c r="D99" s="303"/>
      <c r="E99" s="303"/>
      <c r="F99" s="303"/>
      <c r="G99" s="303"/>
      <c r="H99" s="303"/>
      <c r="I99" s="303"/>
    </row>
    <row r="100" spans="2:9" s="88" customFormat="1" ht="18">
      <c r="B100" s="1"/>
      <c r="C100" s="1"/>
      <c r="D100" s="3" t="s">
        <v>85</v>
      </c>
      <c r="E100" s="3"/>
      <c r="F100" s="2"/>
      <c r="G100" s="1"/>
      <c r="H100" s="1"/>
      <c r="I100" s="1"/>
    </row>
    <row r="101" spans="2:9" s="88" customFormat="1" ht="15">
      <c r="B101" s="1"/>
      <c r="C101" s="5" t="s">
        <v>0</v>
      </c>
      <c r="D101" s="6" t="s">
        <v>1</v>
      </c>
      <c r="E101" s="6" t="s">
        <v>2</v>
      </c>
      <c r="F101" s="6" t="s">
        <v>3</v>
      </c>
      <c r="G101" s="6" t="s">
        <v>4</v>
      </c>
      <c r="H101" s="7" t="s">
        <v>5</v>
      </c>
      <c r="I101" s="7" t="s">
        <v>88</v>
      </c>
    </row>
    <row r="102" spans="2:9" s="88" customFormat="1" ht="15">
      <c r="B102" s="93" t="s">
        <v>6</v>
      </c>
      <c r="C102" s="94">
        <v>5755.3534999999993</v>
      </c>
      <c r="D102" s="94">
        <v>7662.6792799999994</v>
      </c>
      <c r="E102" s="94">
        <v>10827.401626000001</v>
      </c>
      <c r="F102" s="94">
        <v>11000</v>
      </c>
      <c r="G102" s="94">
        <v>12000</v>
      </c>
      <c r="H102" s="10">
        <f>SUM(C102:G102)</f>
        <v>47245.434406</v>
      </c>
      <c r="I102" s="83">
        <f>((1-+C102/D102)+(1-D102/E102)+(1-E102/F102)+(1-+F102/G102))/4</f>
        <v>0.16005585798392427</v>
      </c>
    </row>
    <row r="103" spans="2:9" s="88" customFormat="1" ht="15">
      <c r="B103" s="93" t="s">
        <v>7</v>
      </c>
      <c r="C103" s="94">
        <v>6812.9379500000005</v>
      </c>
      <c r="D103" s="94">
        <v>7490.7650799999983</v>
      </c>
      <c r="E103" s="94">
        <v>11222.329238000002</v>
      </c>
      <c r="F103" s="94">
        <v>10589.1494625</v>
      </c>
      <c r="G103" s="94">
        <v>10167.168253846155</v>
      </c>
      <c r="H103" s="10">
        <f t="shared" ref="H103:H130" si="117">SUM(C103:G103)</f>
        <v>46282.349984346154</v>
      </c>
      <c r="I103" s="83">
        <f t="shared" ref="I103:I104" si="118">((1-+C103/D103)+(1-D103/E103)+(1-E103/F103)+(1-+F103/G103))/4</f>
        <v>8.0425341995780997E-2</v>
      </c>
    </row>
    <row r="104" spans="2:9" s="88" customFormat="1" ht="15">
      <c r="B104" s="93" t="s">
        <v>8</v>
      </c>
      <c r="C104" s="95">
        <f>C103</f>
        <v>6812.9379500000005</v>
      </c>
      <c r="D104" s="95">
        <f t="shared" ref="D104:G104" si="119">D103</f>
        <v>7490.7650799999983</v>
      </c>
      <c r="E104" s="95">
        <f t="shared" si="119"/>
        <v>11222.329238000002</v>
      </c>
      <c r="F104" s="95">
        <f t="shared" si="119"/>
        <v>10589.1494625</v>
      </c>
      <c r="G104" s="95">
        <f t="shared" si="119"/>
        <v>10167.168253846155</v>
      </c>
      <c r="H104" s="10">
        <f t="shared" si="117"/>
        <v>46282.349984346154</v>
      </c>
      <c r="I104" s="83">
        <f t="shared" si="118"/>
        <v>8.0425341995780997E-2</v>
      </c>
    </row>
    <row r="105" spans="2:9" s="88" customFormat="1" ht="15">
      <c r="B105" s="93" t="s">
        <v>9</v>
      </c>
      <c r="C105" s="94">
        <v>6814.4831772727266</v>
      </c>
      <c r="D105" s="94">
        <v>8022.3550800000012</v>
      </c>
      <c r="E105" s="94">
        <v>12009.054532</v>
      </c>
      <c r="F105" s="94">
        <v>13185.913230000002</v>
      </c>
      <c r="G105" s="94">
        <v>12778.704685384615</v>
      </c>
      <c r="H105" s="10">
        <f t="shared" si="117"/>
        <v>52810.510704657339</v>
      </c>
      <c r="I105" s="83">
        <v>0.01</v>
      </c>
    </row>
    <row r="106" spans="2:9" s="88" customFormat="1" ht="15">
      <c r="B106" s="93" t="s">
        <v>10</v>
      </c>
      <c r="C106" s="94">
        <v>7810.1967272727279</v>
      </c>
      <c r="D106" s="94">
        <v>11443.82880000001</v>
      </c>
      <c r="E106" s="94">
        <v>16605.321959999997</v>
      </c>
      <c r="F106" s="94">
        <v>15853.496400000013</v>
      </c>
      <c r="G106" s="94">
        <v>15848.664784615401</v>
      </c>
      <c r="H106" s="10">
        <f t="shared" si="117"/>
        <v>67561.50867188815</v>
      </c>
      <c r="I106" s="83">
        <f t="shared" ref="I106:I115" si="120">((1-+C106/D106)+(1-D106/E106)+(1-E106/F106)+(1-+F106/G106))/4</f>
        <v>0.1451560986013187</v>
      </c>
    </row>
    <row r="107" spans="2:9" s="88" customFormat="1" ht="15">
      <c r="B107" s="93"/>
      <c r="C107" s="94"/>
      <c r="D107" s="94"/>
      <c r="E107" s="94"/>
      <c r="F107" s="94"/>
      <c r="G107" s="94"/>
      <c r="H107" s="10"/>
      <c r="I107" s="83"/>
    </row>
    <row r="108" spans="2:9" s="88" customFormat="1" ht="15.75">
      <c r="B108" s="93" t="s">
        <v>91</v>
      </c>
      <c r="C108" s="96">
        <v>18758</v>
      </c>
      <c r="D108" s="96">
        <v>17709</v>
      </c>
      <c r="E108" s="96">
        <v>20310</v>
      </c>
      <c r="F108" s="96">
        <v>25330</v>
      </c>
      <c r="G108" s="96">
        <v>26310</v>
      </c>
      <c r="H108" s="10">
        <f t="shared" si="117"/>
        <v>108417</v>
      </c>
      <c r="I108" s="83">
        <f t="shared" si="120"/>
        <v>7.6065435443225249E-2</v>
      </c>
    </row>
    <row r="109" spans="2:9" s="88" customFormat="1" ht="15">
      <c r="B109" s="93" t="s">
        <v>16</v>
      </c>
      <c r="C109" s="95">
        <v>13937</v>
      </c>
      <c r="D109" s="95">
        <v>19739</v>
      </c>
      <c r="E109" s="95">
        <v>28517</v>
      </c>
      <c r="F109" s="95">
        <v>25752</v>
      </c>
      <c r="G109" s="95">
        <v>25752</v>
      </c>
      <c r="H109" s="10">
        <f>SUM(C109:G109)</f>
        <v>113697</v>
      </c>
      <c r="I109" s="83">
        <v>0.01</v>
      </c>
    </row>
    <row r="110" spans="2:9" s="88" customFormat="1" ht="15">
      <c r="B110" s="93" t="s">
        <v>12</v>
      </c>
      <c r="C110" s="95">
        <v>25553</v>
      </c>
      <c r="D110" s="95">
        <v>28533</v>
      </c>
      <c r="E110" s="95">
        <v>30876</v>
      </c>
      <c r="F110" s="95">
        <v>32788</v>
      </c>
      <c r="G110" s="95">
        <v>30000</v>
      </c>
      <c r="H110" s="10">
        <f t="shared" si="117"/>
        <v>147750</v>
      </c>
      <c r="I110" s="83">
        <f t="shared" si="120"/>
        <v>3.6426334578587266E-2</v>
      </c>
    </row>
    <row r="111" spans="2:9" s="88" customFormat="1" ht="15">
      <c r="B111" s="93"/>
      <c r="C111" s="95"/>
      <c r="D111" s="95"/>
      <c r="E111" s="95"/>
      <c r="F111" s="95"/>
      <c r="G111" s="95"/>
      <c r="H111" s="10"/>
      <c r="I111" s="83"/>
    </row>
    <row r="112" spans="2:9" s="88" customFormat="1" ht="15">
      <c r="B112" s="93" t="s">
        <v>13</v>
      </c>
      <c r="C112" s="95">
        <v>5250</v>
      </c>
      <c r="D112" s="95">
        <v>7950</v>
      </c>
      <c r="E112" s="95">
        <v>5107</v>
      </c>
      <c r="F112" s="95">
        <v>4843</v>
      </c>
      <c r="G112" s="95">
        <v>4577</v>
      </c>
      <c r="H112" s="10">
        <f t="shared" si="117"/>
        <v>27727</v>
      </c>
      <c r="I112" s="83">
        <f t="shared" si="120"/>
        <v>-8.2423148863507961E-2</v>
      </c>
    </row>
    <row r="113" spans="1:9" s="88" customFormat="1" ht="15">
      <c r="B113" s="93" t="s">
        <v>14</v>
      </c>
      <c r="C113" s="95">
        <v>7811</v>
      </c>
      <c r="D113" s="95">
        <v>10604</v>
      </c>
      <c r="E113" s="95">
        <v>11546</v>
      </c>
      <c r="F113" s="95">
        <v>13109</v>
      </c>
      <c r="G113" s="95">
        <v>11709</v>
      </c>
      <c r="H113" s="10">
        <f t="shared" si="117"/>
        <v>54779</v>
      </c>
      <c r="I113" s="83">
        <f t="shared" si="120"/>
        <v>8.6160696690636224E-2</v>
      </c>
    </row>
    <row r="114" spans="1:9" s="88" customFormat="1" ht="15">
      <c r="B114" s="93"/>
      <c r="C114" s="95"/>
      <c r="D114" s="95"/>
      <c r="E114" s="95"/>
      <c r="F114" s="95"/>
      <c r="G114" s="95"/>
      <c r="H114" s="10"/>
      <c r="I114" s="83"/>
    </row>
    <row r="115" spans="1:9" s="88" customFormat="1" ht="15">
      <c r="B115" s="93" t="s">
        <v>15</v>
      </c>
      <c r="C115" s="96">
        <v>30595</v>
      </c>
      <c r="D115" s="96">
        <v>43329</v>
      </c>
      <c r="E115" s="96">
        <v>62598</v>
      </c>
      <c r="F115" s="96">
        <v>56536</v>
      </c>
      <c r="G115" s="96">
        <v>56529</v>
      </c>
      <c r="H115" s="10">
        <f t="shared" si="117"/>
        <v>249587</v>
      </c>
      <c r="I115" s="83">
        <f t="shared" si="120"/>
        <v>0.12359117939758429</v>
      </c>
    </row>
    <row r="116" spans="1:9" s="88" customFormat="1" ht="15">
      <c r="B116" s="8" t="s">
        <v>17</v>
      </c>
      <c r="C116" s="9">
        <v>13572.538200000001</v>
      </c>
      <c r="D116" s="9">
        <v>23672.584000000003</v>
      </c>
      <c r="E116" s="9">
        <v>26863.6086</v>
      </c>
      <c r="F116" s="9">
        <v>18664.0419</v>
      </c>
      <c r="G116" s="9">
        <v>18378.967499999999</v>
      </c>
      <c r="H116" s="10">
        <f t="shared" si="117"/>
        <v>101151.7402</v>
      </c>
      <c r="I116" s="83">
        <v>0.01</v>
      </c>
    </row>
    <row r="117" spans="1:9" s="88" customFormat="1" ht="15">
      <c r="B117" s="8"/>
      <c r="C117" s="9"/>
      <c r="D117" s="9"/>
      <c r="E117" s="9"/>
      <c r="F117" s="9"/>
      <c r="G117" s="9"/>
      <c r="H117" s="10"/>
      <c r="I117" s="83"/>
    </row>
    <row r="118" spans="1:9" s="88" customFormat="1" ht="15">
      <c r="B118" s="8" t="s">
        <v>18</v>
      </c>
      <c r="C118" s="9">
        <v>39875</v>
      </c>
      <c r="D118" s="9">
        <v>52942</v>
      </c>
      <c r="E118" s="9">
        <v>56567</v>
      </c>
      <c r="F118" s="9">
        <v>59942</v>
      </c>
      <c r="G118" s="9">
        <v>60833</v>
      </c>
      <c r="H118" s="10">
        <f t="shared" si="117"/>
        <v>270159</v>
      </c>
      <c r="I118" s="83">
        <f t="shared" ref="I118:I133" si="121">((1-+C118/D118)+(1-D118/E118)+(1-E118/F118)+(1-+F118/G118))/4</f>
        <v>9.5462913598252652E-2</v>
      </c>
    </row>
    <row r="119" spans="1:9" s="88" customFormat="1" ht="15">
      <c r="B119" s="8" t="s">
        <v>19</v>
      </c>
      <c r="C119" s="12">
        <v>34558</v>
      </c>
      <c r="D119" s="12">
        <v>55033</v>
      </c>
      <c r="E119" s="12">
        <v>45850</v>
      </c>
      <c r="F119" s="12">
        <v>61792</v>
      </c>
      <c r="G119" s="12">
        <v>55775</v>
      </c>
      <c r="H119" s="10">
        <f t="shared" si="117"/>
        <v>253008</v>
      </c>
      <c r="I119" s="83">
        <f t="shared" si="121"/>
        <v>8.0470163055177096E-2</v>
      </c>
    </row>
    <row r="120" spans="1:9" s="88" customFormat="1" ht="15">
      <c r="B120" s="8" t="s">
        <v>20</v>
      </c>
      <c r="C120" s="9">
        <v>18330</v>
      </c>
      <c r="D120" s="9">
        <v>28250</v>
      </c>
      <c r="E120" s="9">
        <v>37000</v>
      </c>
      <c r="F120" s="9">
        <v>39583</v>
      </c>
      <c r="G120" s="9">
        <v>49667</v>
      </c>
      <c r="H120" s="10">
        <f t="shared" si="117"/>
        <v>172830</v>
      </c>
      <c r="I120" s="83">
        <f t="shared" si="121"/>
        <v>0.21398110243486784</v>
      </c>
    </row>
    <row r="121" spans="1:9" s="88" customFormat="1" ht="15">
      <c r="B121" s="8"/>
      <c r="C121" s="9"/>
      <c r="D121" s="9"/>
      <c r="E121" s="9"/>
      <c r="F121" s="9"/>
      <c r="G121" s="9"/>
      <c r="H121" s="10"/>
      <c r="I121" s="83"/>
    </row>
    <row r="122" spans="1:9" s="88" customFormat="1" ht="15">
      <c r="B122" s="8" t="s">
        <v>23</v>
      </c>
      <c r="C122" s="9">
        <v>10250</v>
      </c>
      <c r="D122" s="9">
        <v>14500</v>
      </c>
      <c r="E122" s="9">
        <v>23000</v>
      </c>
      <c r="F122" s="9">
        <v>23000</v>
      </c>
      <c r="G122" s="9">
        <v>23300</v>
      </c>
      <c r="H122" s="10">
        <f>SUM(C122:G122)</f>
        <v>94050</v>
      </c>
      <c r="I122" s="83">
        <f>((1-+C122/D122)+(1-D122/E122)+(1-E122/F122)+(1-+F122/G122))/4</f>
        <v>0.16888605053696329</v>
      </c>
    </row>
    <row r="123" spans="1:9" s="88" customFormat="1" ht="15.75">
      <c r="B123" s="8" t="s">
        <v>92</v>
      </c>
      <c r="C123" s="9"/>
      <c r="D123" s="9"/>
      <c r="E123" s="9"/>
      <c r="F123" s="9"/>
      <c r="G123" s="9">
        <v>250</v>
      </c>
      <c r="H123" s="10">
        <f>SUM(C123:G123)</f>
        <v>250</v>
      </c>
      <c r="I123" s="83">
        <v>0.01</v>
      </c>
    </row>
    <row r="124" spans="1:9" s="88" customFormat="1" ht="15">
      <c r="A124" s="122"/>
      <c r="B124" s="123" t="s">
        <v>25</v>
      </c>
      <c r="C124" s="12"/>
      <c r="D124" s="12"/>
      <c r="E124" s="12"/>
      <c r="F124" s="12"/>
      <c r="G124" s="12">
        <v>39000</v>
      </c>
      <c r="H124" s="10">
        <f>SUM(C124:G124)</f>
        <v>39000</v>
      </c>
      <c r="I124" s="83">
        <v>0.01</v>
      </c>
    </row>
    <row r="125" spans="1:9" s="88" customFormat="1" ht="15">
      <c r="A125" s="122"/>
      <c r="B125" s="123" t="s">
        <v>96</v>
      </c>
      <c r="C125" s="12"/>
      <c r="D125" s="12"/>
      <c r="E125" s="12"/>
      <c r="F125" s="12"/>
      <c r="G125" s="12"/>
      <c r="H125" s="10"/>
      <c r="I125" s="83"/>
    </row>
    <row r="126" spans="1:9" s="88" customFormat="1" ht="15">
      <c r="A126" s="122"/>
      <c r="B126" s="123" t="s">
        <v>26</v>
      </c>
      <c r="C126" s="9">
        <v>90000</v>
      </c>
      <c r="D126" s="9">
        <v>92500</v>
      </c>
      <c r="E126" s="9">
        <v>94500</v>
      </c>
      <c r="F126" s="9">
        <v>94500</v>
      </c>
      <c r="G126" s="9">
        <v>94500</v>
      </c>
      <c r="H126" s="10">
        <f t="shared" si="117"/>
        <v>466000</v>
      </c>
      <c r="I126" s="83">
        <f t="shared" si="121"/>
        <v>1.2047762047762034E-2</v>
      </c>
    </row>
    <row r="127" spans="1:9" s="88" customFormat="1" ht="15">
      <c r="A127" s="122"/>
      <c r="B127" s="123" t="s">
        <v>27</v>
      </c>
      <c r="C127" s="9">
        <v>22000</v>
      </c>
      <c r="D127" s="9">
        <v>25000</v>
      </c>
      <c r="E127" s="9">
        <v>33000</v>
      </c>
      <c r="F127" s="9">
        <v>33000</v>
      </c>
      <c r="G127" s="9">
        <v>33000</v>
      </c>
      <c r="H127" s="10">
        <f t="shared" si="117"/>
        <v>146000</v>
      </c>
      <c r="I127" s="83">
        <f t="shared" si="121"/>
        <v>9.0606060606060607E-2</v>
      </c>
    </row>
    <row r="128" spans="1:9" s="88" customFormat="1" ht="15">
      <c r="A128" s="122"/>
      <c r="B128" s="123" t="s">
        <v>28</v>
      </c>
      <c r="C128" s="9">
        <v>27376</v>
      </c>
      <c r="D128" s="9">
        <v>38724</v>
      </c>
      <c r="E128" s="9">
        <v>41404</v>
      </c>
      <c r="F128" s="9">
        <v>44043</v>
      </c>
      <c r="G128" s="9">
        <v>46009</v>
      </c>
      <c r="H128" s="10">
        <f t="shared" si="117"/>
        <v>197556</v>
      </c>
      <c r="I128" s="83">
        <f t="shared" si="121"/>
        <v>0.11510644257123917</v>
      </c>
    </row>
    <row r="129" spans="1:9" s="88" customFormat="1" ht="15">
      <c r="A129" s="122"/>
      <c r="B129" s="123" t="s">
        <v>29</v>
      </c>
      <c r="C129" s="9">
        <v>16997.5</v>
      </c>
      <c r="D129" s="9">
        <v>24072</v>
      </c>
      <c r="E129" s="9">
        <v>36863.620000000003</v>
      </c>
      <c r="F129" s="9">
        <v>31405.5</v>
      </c>
      <c r="G129" s="9">
        <v>29835.224999999999</v>
      </c>
      <c r="H129" s="10">
        <f t="shared" si="117"/>
        <v>139173.845</v>
      </c>
      <c r="I129" s="83">
        <f t="shared" si="121"/>
        <v>0.10361525701910973</v>
      </c>
    </row>
    <row r="130" spans="1:9" s="88" customFormat="1" ht="15">
      <c r="A130" s="122"/>
      <c r="B130" s="123" t="s">
        <v>30</v>
      </c>
      <c r="C130" s="9">
        <v>2000</v>
      </c>
      <c r="D130" s="9">
        <v>2000</v>
      </c>
      <c r="E130" s="9">
        <v>2000</v>
      </c>
      <c r="F130" s="9">
        <v>2000</v>
      </c>
      <c r="G130" s="9">
        <v>2000</v>
      </c>
      <c r="H130" s="10">
        <f t="shared" si="117"/>
        <v>10000</v>
      </c>
      <c r="I130" s="83">
        <f t="shared" si="121"/>
        <v>0</v>
      </c>
    </row>
    <row r="131" spans="1:9" s="88" customFormat="1" ht="15">
      <c r="A131" s="122"/>
      <c r="B131" s="123" t="s">
        <v>97</v>
      </c>
      <c r="C131" s="9">
        <v>22000</v>
      </c>
      <c r="D131" s="9">
        <v>23000</v>
      </c>
      <c r="E131" s="9">
        <v>25000</v>
      </c>
      <c r="F131" s="9">
        <v>25000</v>
      </c>
      <c r="G131" s="9">
        <v>25000</v>
      </c>
      <c r="H131" s="10"/>
      <c r="I131" s="83">
        <f t="shared" si="121"/>
        <v>3.0869565217391287E-2</v>
      </c>
    </row>
    <row r="132" spans="1:9" s="88" customFormat="1" ht="15">
      <c r="A132" s="122"/>
      <c r="B132" s="123" t="s">
        <v>98</v>
      </c>
      <c r="C132" s="9">
        <v>19000</v>
      </c>
      <c r="D132" s="9">
        <v>19500</v>
      </c>
      <c r="E132" s="9">
        <v>20000</v>
      </c>
      <c r="F132" s="9">
        <v>20000</v>
      </c>
      <c r="G132" s="9">
        <v>20000</v>
      </c>
      <c r="H132" s="10"/>
      <c r="I132" s="83">
        <f t="shared" si="121"/>
        <v>1.2660256410256421E-2</v>
      </c>
    </row>
    <row r="133" spans="1:9" s="88" customFormat="1" ht="15">
      <c r="A133" s="122"/>
      <c r="B133" s="123" t="s">
        <v>99</v>
      </c>
      <c r="C133" s="9">
        <v>64000</v>
      </c>
      <c r="D133" s="9">
        <v>64300</v>
      </c>
      <c r="E133" s="9">
        <v>65000</v>
      </c>
      <c r="F133" s="9">
        <v>65000</v>
      </c>
      <c r="G133" s="9">
        <v>65000</v>
      </c>
      <c r="H133" s="10"/>
      <c r="I133" s="83">
        <f t="shared" si="121"/>
        <v>3.858715157315451E-3</v>
      </c>
    </row>
    <row r="134" spans="1:9" s="88" customFormat="1" ht="15">
      <c r="A134" s="122"/>
      <c r="B134" s="123" t="s">
        <v>21</v>
      </c>
      <c r="C134" s="9">
        <v>30000</v>
      </c>
      <c r="D134" s="9">
        <v>42000</v>
      </c>
      <c r="E134" s="9">
        <v>60000</v>
      </c>
      <c r="F134" s="9">
        <v>60000</v>
      </c>
      <c r="G134" s="9">
        <v>60000</v>
      </c>
      <c r="H134" s="10">
        <f>SUM(C134:G134)</f>
        <v>252000</v>
      </c>
      <c r="I134" s="83">
        <f>((1-+C134/D134)+(1-D134/E134)+(1-E134/F134)+(1-+F134/G134))/4</f>
        <v>0.14642857142857144</v>
      </c>
    </row>
    <row r="135" spans="1:9" s="88" customFormat="1" ht="15">
      <c r="A135" s="122"/>
      <c r="B135" s="123" t="s">
        <v>22</v>
      </c>
      <c r="C135" s="9"/>
      <c r="D135" s="9"/>
      <c r="E135" s="9"/>
      <c r="F135" s="9"/>
      <c r="G135" s="9">
        <v>60000</v>
      </c>
      <c r="H135" s="10">
        <f>SUM(C135:G135)</f>
        <v>60000</v>
      </c>
      <c r="I135" s="83">
        <v>0.01</v>
      </c>
    </row>
    <row r="136" spans="1:9" s="88" customFormat="1">
      <c r="B136" s="13"/>
      <c r="C136" s="14"/>
      <c r="D136" s="14"/>
      <c r="E136" s="14"/>
      <c r="F136" s="14"/>
      <c r="G136" s="14"/>
      <c r="H136" s="14">
        <f>SUM(H102:H130)</f>
        <v>2851317.7389512379</v>
      </c>
      <c r="I136" s="79"/>
    </row>
    <row r="137" spans="1:9" s="88" customFormat="1">
      <c r="B137" s="15"/>
      <c r="C137" s="16" t="e">
        <f>1-+C136/G136</f>
        <v>#DIV/0!</v>
      </c>
      <c r="D137" s="17" t="e">
        <f>1-+C136/D136</f>
        <v>#DIV/0!</v>
      </c>
      <c r="E137" s="17" t="e">
        <f>1-D136/E136</f>
        <v>#DIV/0!</v>
      </c>
      <c r="F137" s="17" t="e">
        <f>1-E136/F136</f>
        <v>#DIV/0!</v>
      </c>
      <c r="G137" s="17" t="e">
        <f>1-+F136/G136</f>
        <v>#DIV/0!</v>
      </c>
      <c r="H137" s="18"/>
      <c r="I137" s="18"/>
    </row>
    <row r="138" spans="1:9" s="88" customFormat="1">
      <c r="B138" s="15"/>
      <c r="C138" s="15"/>
      <c r="D138" s="15"/>
      <c r="E138" s="15"/>
      <c r="F138" s="15"/>
      <c r="G138" s="15"/>
      <c r="H138" s="18"/>
      <c r="I138" s="18"/>
    </row>
    <row r="139" spans="1:9" s="88" customFormat="1" ht="15">
      <c r="B139" s="8" t="s">
        <v>32</v>
      </c>
      <c r="C139" s="12">
        <v>19200</v>
      </c>
      <c r="D139" s="12">
        <v>21000</v>
      </c>
      <c r="E139" s="12">
        <v>21000</v>
      </c>
      <c r="F139" s="12">
        <v>22000</v>
      </c>
      <c r="G139" s="12">
        <v>25000</v>
      </c>
      <c r="H139" s="10">
        <f>SUM(C139:G139)</f>
        <v>108200</v>
      </c>
      <c r="I139" s="83">
        <f t="shared" ref="I139:I143" si="122">((1-+C139/D139)+(1-D139/E139)+(1-E139/F139)+(1-+F139/G139))/4</f>
        <v>6.2792207792207788E-2</v>
      </c>
    </row>
    <row r="140" spans="1:9" s="88" customFormat="1" ht="15">
      <c r="B140" s="8" t="s">
        <v>33</v>
      </c>
      <c r="C140" s="12">
        <v>1800</v>
      </c>
      <c r="D140" s="12">
        <v>1900</v>
      </c>
      <c r="E140" s="12">
        <v>1900</v>
      </c>
      <c r="F140" s="12">
        <v>1900</v>
      </c>
      <c r="G140" s="12">
        <v>2100</v>
      </c>
      <c r="H140" s="10">
        <f t="shared" ref="H140:H143" si="123">SUM(C140:G140)</f>
        <v>9600</v>
      </c>
      <c r="I140" s="83">
        <f t="shared" si="122"/>
        <v>3.6967418546365927E-2</v>
      </c>
    </row>
    <row r="141" spans="1:9" s="88" customFormat="1" ht="15">
      <c r="B141" s="8" t="s">
        <v>34</v>
      </c>
      <c r="C141" s="12">
        <v>3900</v>
      </c>
      <c r="D141" s="12">
        <v>4650</v>
      </c>
      <c r="E141" s="12">
        <v>4650</v>
      </c>
      <c r="F141" s="12">
        <v>4800</v>
      </c>
      <c r="G141" s="12">
        <v>6000</v>
      </c>
      <c r="H141" s="10">
        <f t="shared" si="123"/>
        <v>24000</v>
      </c>
      <c r="I141" s="83">
        <f t="shared" si="122"/>
        <v>9.8135080645161271E-2</v>
      </c>
    </row>
    <row r="142" spans="1:9" s="88" customFormat="1" ht="15">
      <c r="B142" s="8" t="s">
        <v>149</v>
      </c>
      <c r="C142" s="12">
        <v>130</v>
      </c>
      <c r="D142" s="12">
        <v>130</v>
      </c>
      <c r="E142" s="12">
        <v>150</v>
      </c>
      <c r="F142" s="12">
        <v>160</v>
      </c>
      <c r="G142" s="12">
        <v>180</v>
      </c>
      <c r="H142" s="10">
        <f t="shared" si="123"/>
        <v>750</v>
      </c>
      <c r="I142" s="83">
        <f t="shared" si="122"/>
        <v>7.6736111111111116E-2</v>
      </c>
    </row>
    <row r="143" spans="1:9" s="88" customFormat="1" ht="15">
      <c r="B143" s="8" t="s">
        <v>150</v>
      </c>
      <c r="C143" s="12">
        <v>60</v>
      </c>
      <c r="D143" s="12">
        <v>60</v>
      </c>
      <c r="E143" s="12">
        <v>85</v>
      </c>
      <c r="F143" s="12">
        <v>96</v>
      </c>
      <c r="G143" s="12">
        <v>96</v>
      </c>
      <c r="H143" s="10">
        <f t="shared" si="123"/>
        <v>397</v>
      </c>
      <c r="I143" s="83">
        <f t="shared" si="122"/>
        <v>0.10217524509803921</v>
      </c>
    </row>
    <row r="144" spans="1:9" s="88" customFormat="1">
      <c r="B144" s="13" t="s">
        <v>36</v>
      </c>
      <c r="C144" s="20">
        <f t="shared" ref="C144:H144" si="124">SUM(C139:C143)</f>
        <v>25090</v>
      </c>
      <c r="D144" s="20">
        <f t="shared" si="124"/>
        <v>27740</v>
      </c>
      <c r="E144" s="20">
        <f t="shared" si="124"/>
        <v>27785</v>
      </c>
      <c r="F144" s="20">
        <f t="shared" si="124"/>
        <v>28956</v>
      </c>
      <c r="G144" s="20">
        <f t="shared" si="124"/>
        <v>33376</v>
      </c>
      <c r="H144" s="14">
        <f t="shared" si="124"/>
        <v>142947</v>
      </c>
      <c r="I144" s="79"/>
    </row>
    <row r="145" spans="2:13" s="88" customFormat="1" ht="15">
      <c r="B145" s="89"/>
      <c r="C145" s="24"/>
      <c r="D145" s="24"/>
      <c r="E145" s="24"/>
      <c r="F145" s="24"/>
      <c r="G145" s="24"/>
      <c r="H145" s="82"/>
      <c r="I145" s="82"/>
    </row>
    <row r="146" spans="2:13" s="88" customFormat="1">
      <c r="B146" s="91"/>
      <c r="C146" s="79"/>
      <c r="D146" s="79"/>
      <c r="E146" s="79"/>
      <c r="F146" s="79"/>
      <c r="G146" s="79"/>
      <c r="H146" s="80"/>
      <c r="I146" s="80"/>
    </row>
    <row r="147" spans="2:13">
      <c r="B147" s="15"/>
      <c r="C147" s="18"/>
      <c r="D147" s="18"/>
      <c r="E147" s="18"/>
      <c r="F147" s="18"/>
      <c r="G147" s="18"/>
      <c r="H147" s="28"/>
      <c r="I147" s="28"/>
    </row>
    <row r="148" spans="2:13">
      <c r="B148" s="15"/>
      <c r="C148" s="21"/>
      <c r="D148" s="21"/>
      <c r="E148" s="21"/>
      <c r="F148" s="21"/>
      <c r="G148" s="21"/>
      <c r="H148" s="18"/>
      <c r="I148" s="18"/>
    </row>
    <row r="149" spans="2:13" ht="18" hidden="1">
      <c r="C149" s="295" t="s">
        <v>38</v>
      </c>
      <c r="D149" s="295"/>
      <c r="E149" s="295"/>
      <c r="F149" s="295"/>
      <c r="G149" s="295"/>
    </row>
    <row r="150" spans="2:13" hidden="1"/>
    <row r="151" spans="2:13" ht="15.75" hidden="1" thickBot="1">
      <c r="C151" s="29" t="s">
        <v>39</v>
      </c>
      <c r="D151" s="30" t="s">
        <v>40</v>
      </c>
      <c r="E151" s="30" t="s">
        <v>41</v>
      </c>
      <c r="F151" s="30" t="s">
        <v>42</v>
      </c>
      <c r="G151" s="30" t="s">
        <v>43</v>
      </c>
      <c r="H151" s="31" t="s">
        <v>5</v>
      </c>
      <c r="I151" s="78"/>
    </row>
    <row r="152" spans="2:13" ht="15" hidden="1">
      <c r="B152" s="8" t="s">
        <v>10</v>
      </c>
      <c r="C152" s="22">
        <f>+'[1]Arroz e Feijão'!C38</f>
        <v>385104.1</v>
      </c>
      <c r="D152" s="22">
        <f>+'[1]Arroz e Feijão'!D38</f>
        <v>840674.90833333344</v>
      </c>
      <c r="E152" s="22">
        <f>+'[1]Arroz e Feijão'!E38</f>
        <v>1154507.5333333334</v>
      </c>
      <c r="F152" s="22">
        <f>+'[1]Arroz e Feijão'!F38</f>
        <v>1418288.6500000001</v>
      </c>
      <c r="G152" s="22">
        <f>+'[1]Arroz e Feijão'!G38</f>
        <v>1597843.0250000001</v>
      </c>
      <c r="H152" s="23">
        <f>SUM(D152:G152)</f>
        <v>5011314.1166666672</v>
      </c>
      <c r="I152" s="23"/>
    </row>
    <row r="153" spans="2:13" ht="15" hidden="1">
      <c r="B153" s="8" t="s">
        <v>6</v>
      </c>
      <c r="C153" s="12">
        <f>+'[1]Milho e Feijão'!C40</f>
        <v>2210880</v>
      </c>
      <c r="D153" s="12">
        <f>+'[1]Milho e Feijão'!D40</f>
        <v>2501467.1700000004</v>
      </c>
      <c r="E153" s="12">
        <f>+'[1]Milho e Feijão'!E40</f>
        <v>2752776.5100000007</v>
      </c>
      <c r="F153" s="12">
        <f>+'[1]Milho e Feijão'!F40</f>
        <v>3291758.74</v>
      </c>
      <c r="G153" s="12">
        <f>+'[1]Milho e Feijão'!G40</f>
        <v>3589272.75</v>
      </c>
      <c r="H153" s="23">
        <f t="shared" ref="H153:H157" si="125">SUM(D153:G153)</f>
        <v>12135275.170000002</v>
      </c>
      <c r="I153" s="23"/>
    </row>
    <row r="154" spans="2:13" ht="15" hidden="1">
      <c r="B154" s="8" t="s">
        <v>37</v>
      </c>
      <c r="C154" s="22">
        <f>+'[1]Arroz e Feijão'!C76+'[1]Milho e Feijão'!C76</f>
        <v>371832.92533333332</v>
      </c>
      <c r="D154" s="22">
        <f>+'[1]Arroz e Feijão'!D76+'[1]Milho e Feijão'!D76</f>
        <v>638616.26600000006</v>
      </c>
      <c r="E154" s="22">
        <f>+'[1]Arroz e Feijão'!E76+'[1]Milho e Feijão'!E76</f>
        <v>1057794.7646666667</v>
      </c>
      <c r="F154" s="22">
        <f>+'[1]Arroz e Feijão'!F76+'[1]Milho e Feijão'!F76</f>
        <v>1322665.5560000001</v>
      </c>
      <c r="G154" s="22">
        <f>+'[1]Arroz e Feijão'!G76+'[1]Milho e Feijão'!G76</f>
        <v>1322665.5560000001</v>
      </c>
      <c r="H154" s="23">
        <f t="shared" si="125"/>
        <v>4341742.1426666668</v>
      </c>
      <c r="I154" s="23"/>
    </row>
    <row r="155" spans="2:13" ht="15" hidden="1">
      <c r="B155" s="8" t="s">
        <v>16</v>
      </c>
      <c r="C155" s="22">
        <f>+[1]Soja!C44</f>
        <v>51575</v>
      </c>
      <c r="D155" s="22">
        <f>+[1]Soja!D44</f>
        <v>140250</v>
      </c>
      <c r="E155" s="22">
        <f>+[1]Soja!E44</f>
        <v>445500</v>
      </c>
      <c r="F155" s="22">
        <f>+[1]Soja!F44</f>
        <v>660000</v>
      </c>
      <c r="G155" s="22">
        <f>+[1]Soja!G44</f>
        <v>660000</v>
      </c>
      <c r="H155" s="23">
        <f t="shared" si="125"/>
        <v>1905750</v>
      </c>
      <c r="I155" s="23"/>
    </row>
    <row r="156" spans="2:13" ht="15" hidden="1">
      <c r="B156" s="8" t="s">
        <v>15</v>
      </c>
      <c r="C156" s="24">
        <f>+[1]Gergelim!C42</f>
        <v>118000</v>
      </c>
      <c r="D156" s="24">
        <f>+[1]Gergelim!D42</f>
        <v>140294.11764705883</v>
      </c>
      <c r="E156" s="24">
        <f>+[1]Gergelim!E42</f>
        <v>230588.23529411765</v>
      </c>
      <c r="F156" s="24">
        <f>+[1]Gergelim!F42</f>
        <v>264700</v>
      </c>
      <c r="G156" s="24">
        <f>+[1]Gergelim!G42</f>
        <v>266800</v>
      </c>
      <c r="H156" s="23">
        <f t="shared" si="125"/>
        <v>902382.3529411765</v>
      </c>
      <c r="I156" s="23"/>
    </row>
    <row r="157" spans="2:13" ht="15" hidden="1">
      <c r="B157" s="8" t="s">
        <v>17</v>
      </c>
      <c r="C157" s="24">
        <f>+[1]Girassol!C44</f>
        <v>23643.939393939396</v>
      </c>
      <c r="D157" s="24">
        <f>+[1]Girassol!D44</f>
        <v>166544.11764705885</v>
      </c>
      <c r="E157" s="24">
        <f>+[1]Girassol!E44</f>
        <v>527247.05882352951</v>
      </c>
      <c r="F157" s="24">
        <f>+[1]Girassol!F44</f>
        <v>719400</v>
      </c>
      <c r="G157" s="24">
        <f>+[1]Girassol!G44</f>
        <v>754800</v>
      </c>
      <c r="H157" s="23">
        <f t="shared" si="125"/>
        <v>2167991.1764705884</v>
      </c>
      <c r="I157" s="23"/>
    </row>
    <row r="158" spans="2:13" hidden="1">
      <c r="B158" s="25" t="s">
        <v>36</v>
      </c>
      <c r="C158" s="26">
        <f>SUM(C152:C157)</f>
        <v>3161035.9647272727</v>
      </c>
      <c r="D158" s="26">
        <f t="shared" ref="D158:H158" si="126">SUM(D152:D157)</f>
        <v>4427846.5796274524</v>
      </c>
      <c r="E158" s="26">
        <f t="shared" si="126"/>
        <v>6168414.1021176474</v>
      </c>
      <c r="F158" s="26">
        <f t="shared" si="126"/>
        <v>7676812.9460000005</v>
      </c>
      <c r="G158" s="26">
        <f t="shared" si="126"/>
        <v>8191381.3310000002</v>
      </c>
      <c r="H158" s="27">
        <f t="shared" si="126"/>
        <v>26464454.958745103</v>
      </c>
      <c r="I158" s="80"/>
      <c r="K158" s="32"/>
      <c r="M158" s="32"/>
    </row>
    <row r="159" spans="2:13" hidden="1">
      <c r="B159" s="15"/>
      <c r="C159" s="18"/>
      <c r="D159" s="18"/>
      <c r="E159" s="18"/>
      <c r="F159" s="18"/>
      <c r="G159" s="18"/>
      <c r="H159" s="28"/>
      <c r="I159" s="28"/>
    </row>
    <row r="160" spans="2:13" ht="15" hidden="1">
      <c r="B160" s="8" t="s">
        <v>32</v>
      </c>
      <c r="C160" s="11">
        <f>+[1]Bovinos!K24/1000</f>
        <v>43047.896399999998</v>
      </c>
      <c r="D160" s="11">
        <f>+[1]Bovinos!K25/1000</f>
        <v>62419.449780000003</v>
      </c>
      <c r="E160" s="11">
        <f>+[1]Bovinos!K26/1000</f>
        <v>98050.552362749993</v>
      </c>
      <c r="F160" s="11">
        <f>+[1]Bovinos!K27/1000</f>
        <v>145850.19663959063</v>
      </c>
      <c r="G160" s="11">
        <f>+[1]Bovinos!K28/1000</f>
        <v>216952.16750139112</v>
      </c>
      <c r="H160" s="23">
        <f>SUM(D160:G160)</f>
        <v>523272.36628373177</v>
      </c>
      <c r="I160" s="23"/>
    </row>
    <row r="161" spans="2:11" ht="15" hidden="1">
      <c r="B161" s="8" t="s">
        <v>33</v>
      </c>
      <c r="C161" s="11">
        <f>+[1]Caprino!K24/1000</f>
        <v>62024.200243200001</v>
      </c>
      <c r="D161" s="11">
        <f>+[1]Caprino!K25/1000</f>
        <v>101099.44639641599</v>
      </c>
      <c r="E161" s="11">
        <f>+[1]Caprino!K26/1000</f>
        <v>202821.04323219458</v>
      </c>
      <c r="F161" s="11">
        <f>+[1]Caprino!K27/1000</f>
        <v>275836.6187957846</v>
      </c>
      <c r="G161" s="11">
        <f>+[1]Caprino!K28/1000</f>
        <v>375137.80156226695</v>
      </c>
      <c r="H161" s="23">
        <f t="shared" ref="H161:H163" si="127">SUM(D161:G161)</f>
        <v>954894.90998666198</v>
      </c>
      <c r="I161" s="23"/>
    </row>
    <row r="162" spans="2:11" ht="15" hidden="1">
      <c r="B162" s="8" t="s">
        <v>34</v>
      </c>
      <c r="C162" s="11">
        <f>+[1]Suinos!I25/1000</f>
        <v>168</v>
      </c>
      <c r="D162" s="11">
        <f>+[1]Suinos!I26/1000</f>
        <v>527.08319999999992</v>
      </c>
      <c r="E162" s="11">
        <f>+[1]Suinos!I27/1000</f>
        <v>5031.8876159999982</v>
      </c>
      <c r="F162" s="11">
        <f>+[1]Suinos!I28/1000</f>
        <v>34468.430169599982</v>
      </c>
      <c r="G162" s="11">
        <f>+[1]Suinos!I29/1000</f>
        <v>130980.03464447995</v>
      </c>
      <c r="H162" s="23">
        <f t="shared" si="127"/>
        <v>171007.43563007994</v>
      </c>
      <c r="I162" s="23"/>
    </row>
    <row r="163" spans="2:11" ht="15" hidden="1">
      <c r="B163" s="8" t="s">
        <v>35</v>
      </c>
      <c r="C163" s="11">
        <f>+[1]Avicultura!F32</f>
        <v>130905</v>
      </c>
      <c r="D163" s="11">
        <f>+[1]Avicultura!G32</f>
        <v>163631</v>
      </c>
      <c r="E163" s="11">
        <f>+[1]Avicultura!H32</f>
        <v>204539</v>
      </c>
      <c r="F163" s="11">
        <f>+[1]Avicultura!I32</f>
        <v>255674</v>
      </c>
      <c r="G163" s="11">
        <f>+[1]Avicultura!J32</f>
        <v>319593</v>
      </c>
      <c r="H163" s="23">
        <f t="shared" si="127"/>
        <v>943437</v>
      </c>
      <c r="I163" s="23"/>
    </row>
    <row r="164" spans="2:11" ht="15" hidden="1">
      <c r="B164" s="25" t="s">
        <v>36</v>
      </c>
      <c r="C164" s="33">
        <f>SUM(C160:C163)</f>
        <v>236145.0966432</v>
      </c>
      <c r="D164" s="33">
        <f t="shared" ref="D164:G164" si="128">SUM(D160:D163)</f>
        <v>327676.97937641595</v>
      </c>
      <c r="E164" s="33">
        <f t="shared" si="128"/>
        <v>510442.48321094457</v>
      </c>
      <c r="F164" s="33">
        <f t="shared" si="128"/>
        <v>711829.24560497515</v>
      </c>
      <c r="G164" s="33">
        <f t="shared" si="128"/>
        <v>1042663.003708138</v>
      </c>
      <c r="H164" s="34">
        <f>SUM(H160:H163)</f>
        <v>2592611.7119004736</v>
      </c>
      <c r="I164" s="81"/>
      <c r="K164" s="32"/>
    </row>
    <row r="166" spans="2:11" ht="18">
      <c r="C166" s="295" t="s">
        <v>44</v>
      </c>
      <c r="D166" s="295"/>
      <c r="E166" s="295"/>
      <c r="F166" s="295"/>
      <c r="G166" s="295"/>
    </row>
    <row r="168" spans="2:11" ht="15.75" thickBot="1">
      <c r="C168" s="29" t="s">
        <v>39</v>
      </c>
      <c r="D168" s="30" t="s">
        <v>40</v>
      </c>
      <c r="E168" s="30" t="s">
        <v>41</v>
      </c>
      <c r="F168" s="30" t="s">
        <v>42</v>
      </c>
      <c r="G168" s="30" t="s">
        <v>43</v>
      </c>
      <c r="H168" s="31" t="s">
        <v>5</v>
      </c>
      <c r="I168" s="78"/>
    </row>
    <row r="169" spans="2:11" ht="15">
      <c r="B169" s="8" t="s">
        <v>10</v>
      </c>
      <c r="C169" s="22" t="e">
        <f>Agricultura!#REF!</f>
        <v>#REF!</v>
      </c>
      <c r="D169" s="22" t="e">
        <f>Agricultura!#REF!</f>
        <v>#REF!</v>
      </c>
      <c r="E169" s="22" t="e">
        <f>Agricultura!#REF!</f>
        <v>#REF!</v>
      </c>
      <c r="F169" s="22" t="e">
        <f>Agricultura!#REF!</f>
        <v>#REF!</v>
      </c>
      <c r="G169" s="22" t="e">
        <f>Agricultura!#REF!</f>
        <v>#REF!</v>
      </c>
      <c r="H169" s="23" t="e">
        <f>SUM(D169:G169)</f>
        <v>#REF!</v>
      </c>
      <c r="I169" s="23"/>
    </row>
    <row r="170" spans="2:11" ht="15">
      <c r="B170" s="8" t="s">
        <v>6</v>
      </c>
      <c r="C170" s="22" t="e">
        <f>Agricultura!#REF!</f>
        <v>#REF!</v>
      </c>
      <c r="D170" s="22" t="e">
        <f>Agricultura!#REF!</f>
        <v>#REF!</v>
      </c>
      <c r="E170" s="22" t="e">
        <f>Agricultura!#REF!</f>
        <v>#REF!</v>
      </c>
      <c r="F170" s="22" t="e">
        <f>Agricultura!#REF!</f>
        <v>#REF!</v>
      </c>
      <c r="G170" s="22" t="e">
        <f>Agricultura!#REF!</f>
        <v>#REF!</v>
      </c>
      <c r="H170" s="23" t="e">
        <f t="shared" ref="H170:H184" si="129">SUM(D170:G170)</f>
        <v>#REF!</v>
      </c>
      <c r="I170" s="23"/>
    </row>
    <row r="171" spans="2:11" ht="15">
      <c r="B171" s="8" t="s">
        <v>37</v>
      </c>
      <c r="C171" s="22" t="e">
        <f>Agricultura!#REF!</f>
        <v>#REF!</v>
      </c>
      <c r="D171" s="22" t="e">
        <f>Agricultura!#REF!</f>
        <v>#REF!</v>
      </c>
      <c r="E171" s="22" t="e">
        <f>Agricultura!#REF!</f>
        <v>#REF!</v>
      </c>
      <c r="F171" s="22" t="e">
        <f>Agricultura!#REF!</f>
        <v>#REF!</v>
      </c>
      <c r="G171" s="22" t="e">
        <f>Agricultura!#REF!</f>
        <v>#REF!</v>
      </c>
      <c r="H171" s="23" t="e">
        <f t="shared" si="129"/>
        <v>#REF!</v>
      </c>
      <c r="I171" s="23"/>
    </row>
    <row r="172" spans="2:11" ht="15">
      <c r="B172" s="8" t="s">
        <v>16</v>
      </c>
      <c r="C172" s="22" t="e">
        <f>Agricultura!#REF!</f>
        <v>#REF!</v>
      </c>
      <c r="D172" s="22" t="e">
        <f>Agricultura!#REF!</f>
        <v>#REF!</v>
      </c>
      <c r="E172" s="22" t="e">
        <f>Agricultura!#REF!</f>
        <v>#REF!</v>
      </c>
      <c r="F172" s="22" t="e">
        <f>Agricultura!#REF!</f>
        <v>#REF!</v>
      </c>
      <c r="G172" s="22" t="e">
        <f>Agricultura!#REF!</f>
        <v>#REF!</v>
      </c>
      <c r="H172" s="23" t="e">
        <f t="shared" si="129"/>
        <v>#REF!</v>
      </c>
      <c r="I172" s="23"/>
    </row>
    <row r="173" spans="2:11" ht="15">
      <c r="B173" s="8" t="s">
        <v>15</v>
      </c>
      <c r="C173" s="24" t="e">
        <f>Agricultura!#REF!</f>
        <v>#REF!</v>
      </c>
      <c r="D173" s="24" t="e">
        <f>Agricultura!#REF!</f>
        <v>#REF!</v>
      </c>
      <c r="E173" s="24" t="e">
        <f>Agricultura!#REF!</f>
        <v>#REF!</v>
      </c>
      <c r="F173" s="24" t="e">
        <f>Agricultura!#REF!</f>
        <v>#REF!</v>
      </c>
      <c r="G173" s="24" t="e">
        <f>Agricultura!#REF!</f>
        <v>#REF!</v>
      </c>
      <c r="H173" s="23" t="e">
        <f t="shared" si="129"/>
        <v>#REF!</v>
      </c>
      <c r="I173" s="23"/>
    </row>
    <row r="174" spans="2:11" ht="15">
      <c r="B174" s="8" t="s">
        <v>17</v>
      </c>
      <c r="C174" s="24" t="e">
        <f>Agricultura!#REF!</f>
        <v>#REF!</v>
      </c>
      <c r="D174" s="24" t="e">
        <f>Agricultura!#REF!</f>
        <v>#REF!</v>
      </c>
      <c r="E174" s="24" t="e">
        <f>Agricultura!#REF!</f>
        <v>#REF!</v>
      </c>
      <c r="F174" s="24" t="e">
        <f>Agricultura!#REF!</f>
        <v>#REF!</v>
      </c>
      <c r="G174" s="24" t="e">
        <f>Agricultura!#REF!</f>
        <v>#REF!</v>
      </c>
      <c r="H174" s="23" t="e">
        <f t="shared" si="129"/>
        <v>#REF!</v>
      </c>
      <c r="I174" s="23"/>
    </row>
    <row r="175" spans="2:11" ht="15">
      <c r="B175" s="8" t="s">
        <v>45</v>
      </c>
      <c r="C175" s="35" t="e">
        <f>SUM(C170:C174)</f>
        <v>#REF!</v>
      </c>
      <c r="D175" s="35" t="e">
        <f t="shared" ref="D175:H175" si="130">SUM(D169:D174)</f>
        <v>#REF!</v>
      </c>
      <c r="E175" s="35" t="e">
        <f t="shared" si="130"/>
        <v>#REF!</v>
      </c>
      <c r="F175" s="35" t="e">
        <f t="shared" si="130"/>
        <v>#REF!</v>
      </c>
      <c r="G175" s="35" t="e">
        <f t="shared" si="130"/>
        <v>#REF!</v>
      </c>
      <c r="H175" s="36" t="e">
        <f t="shared" si="130"/>
        <v>#REF!</v>
      </c>
      <c r="I175" s="36"/>
    </row>
    <row r="176" spans="2:11" ht="15">
      <c r="B176" s="8"/>
      <c r="C176" s="24"/>
      <c r="D176" s="24"/>
      <c r="E176" s="24"/>
      <c r="F176" s="24"/>
      <c r="G176" s="24"/>
      <c r="H176" s="23"/>
      <c r="I176" s="23"/>
    </row>
    <row r="177" spans="2:9" ht="15">
      <c r="B177" s="8" t="s">
        <v>32</v>
      </c>
      <c r="C177" s="24" t="e">
        <f>Agricultura!#REF!</f>
        <v>#REF!</v>
      </c>
      <c r="D177" s="24" t="e">
        <f>Agricultura!#REF!</f>
        <v>#REF!</v>
      </c>
      <c r="E177" s="24" t="e">
        <f>Agricultura!#REF!</f>
        <v>#REF!</v>
      </c>
      <c r="F177" s="24" t="e">
        <f>Agricultura!#REF!</f>
        <v>#REF!</v>
      </c>
      <c r="G177" s="24" t="e">
        <f>Agricultura!#REF!</f>
        <v>#REF!</v>
      </c>
      <c r="H177" s="23" t="e">
        <f>SUM(D177:G177)</f>
        <v>#REF!</v>
      </c>
      <c r="I177" s="23"/>
    </row>
    <row r="178" spans="2:9" ht="15">
      <c r="B178" s="8" t="s">
        <v>33</v>
      </c>
      <c r="C178" s="24" t="e">
        <f>Agricultura!#REF!</f>
        <v>#REF!</v>
      </c>
      <c r="D178" s="24" t="e">
        <f>Agricultura!#REF!</f>
        <v>#REF!</v>
      </c>
      <c r="E178" s="24" t="e">
        <f>Agricultura!#REF!</f>
        <v>#REF!</v>
      </c>
      <c r="F178" s="24" t="e">
        <f>Agricultura!#REF!</f>
        <v>#REF!</v>
      </c>
      <c r="G178" s="24" t="e">
        <f>Agricultura!#REF!</f>
        <v>#REF!</v>
      </c>
      <c r="H178" s="23" t="e">
        <f t="shared" ref="H178:H181" si="131">SUM(D178:G178)</f>
        <v>#REF!</v>
      </c>
      <c r="I178" s="23"/>
    </row>
    <row r="179" spans="2:9" ht="15">
      <c r="B179" s="89" t="s">
        <v>34</v>
      </c>
      <c r="C179" s="24" t="e">
        <f>Agricultura!#REF!</f>
        <v>#REF!</v>
      </c>
      <c r="D179" s="24" t="e">
        <f>Agricultura!#REF!</f>
        <v>#REF!</v>
      </c>
      <c r="E179" s="24" t="e">
        <f>Agricultura!#REF!</f>
        <v>#REF!</v>
      </c>
      <c r="F179" s="24" t="e">
        <f>Agricultura!#REF!</f>
        <v>#REF!</v>
      </c>
      <c r="G179" s="24" t="e">
        <f>Agricultura!#REF!</f>
        <v>#REF!</v>
      </c>
      <c r="H179" s="82" t="e">
        <f t="shared" si="131"/>
        <v>#REF!</v>
      </c>
      <c r="I179" s="23"/>
    </row>
    <row r="180" spans="2:9" ht="15">
      <c r="B180" s="89" t="s">
        <v>149</v>
      </c>
      <c r="C180" s="24" t="e">
        <f>Agricultura!#REF!</f>
        <v>#REF!</v>
      </c>
      <c r="D180" s="24" t="e">
        <f>Agricultura!#REF!</f>
        <v>#REF!</v>
      </c>
      <c r="E180" s="24" t="e">
        <f>Agricultura!#REF!</f>
        <v>#REF!</v>
      </c>
      <c r="F180" s="24" t="e">
        <f>Agricultura!#REF!</f>
        <v>#REF!</v>
      </c>
      <c r="G180" s="24" t="e">
        <f>Agricultura!#REF!</f>
        <v>#REF!</v>
      </c>
      <c r="H180" s="82" t="e">
        <f t="shared" si="131"/>
        <v>#REF!</v>
      </c>
      <c r="I180" s="82"/>
    </row>
    <row r="181" spans="2:9" ht="15">
      <c r="B181" s="89" t="s">
        <v>161</v>
      </c>
      <c r="C181" s="24" t="e">
        <f>Agricultura!#REF!</f>
        <v>#REF!</v>
      </c>
      <c r="D181" s="24" t="e">
        <f>Agricultura!#REF!</f>
        <v>#REF!</v>
      </c>
      <c r="E181" s="24" t="e">
        <f>Agricultura!#REF!</f>
        <v>#REF!</v>
      </c>
      <c r="F181" s="24" t="e">
        <f>Agricultura!#REF!</f>
        <v>#REF!</v>
      </c>
      <c r="G181" s="24" t="e">
        <f>Agricultura!#REF!</f>
        <v>#REF!</v>
      </c>
      <c r="H181" s="82" t="e">
        <f t="shared" si="131"/>
        <v>#REF!</v>
      </c>
      <c r="I181" s="82"/>
    </row>
    <row r="182" spans="2:9">
      <c r="B182" s="25" t="s">
        <v>46</v>
      </c>
      <c r="C182" s="175" t="e">
        <f t="shared" ref="C182:F182" si="132">SUM(C177:C181)</f>
        <v>#REF!</v>
      </c>
      <c r="D182" s="175" t="e">
        <f t="shared" si="132"/>
        <v>#REF!</v>
      </c>
      <c r="E182" s="175" t="e">
        <f t="shared" si="132"/>
        <v>#REF!</v>
      </c>
      <c r="F182" s="175" t="e">
        <f t="shared" si="132"/>
        <v>#REF!</v>
      </c>
      <c r="G182" s="175" t="e">
        <f>SUM(G177:G181)</f>
        <v>#REF!</v>
      </c>
      <c r="H182" s="27" t="e">
        <f>SUM(C182:G182)</f>
        <v>#REF!</v>
      </c>
      <c r="I182" s="28"/>
    </row>
    <row r="183" spans="2:9">
      <c r="B183" s="15"/>
      <c r="C183" s="35"/>
      <c r="D183" s="35"/>
      <c r="E183" s="35"/>
      <c r="F183" s="35"/>
      <c r="G183" s="35"/>
      <c r="H183" s="28"/>
      <c r="I183" s="28"/>
    </row>
    <row r="184" spans="2:9" ht="15">
      <c r="B184" s="8" t="s">
        <v>5</v>
      </c>
      <c r="C184" s="40" t="e">
        <f>+C175+C182</f>
        <v>#REF!</v>
      </c>
      <c r="D184" s="40" t="e">
        <f t="shared" ref="D184:G184" si="133">+D175+D182</f>
        <v>#REF!</v>
      </c>
      <c r="E184" s="40" t="e">
        <f t="shared" si="133"/>
        <v>#REF!</v>
      </c>
      <c r="F184" s="40" t="e">
        <f t="shared" si="133"/>
        <v>#REF!</v>
      </c>
      <c r="G184" s="40" t="e">
        <f t="shared" si="133"/>
        <v>#REF!</v>
      </c>
      <c r="H184" s="41" t="e">
        <f t="shared" si="129"/>
        <v>#REF!</v>
      </c>
      <c r="I184" s="41"/>
    </row>
    <row r="185" spans="2:9" ht="15">
      <c r="C185" s="42" t="e">
        <f t="shared" ref="C185:G185" si="134">+C184/62</f>
        <v>#REF!</v>
      </c>
      <c r="D185" s="42" t="e">
        <f t="shared" si="134"/>
        <v>#REF!</v>
      </c>
      <c r="E185" s="42" t="e">
        <f t="shared" si="134"/>
        <v>#REF!</v>
      </c>
      <c r="F185" s="42" t="e">
        <f t="shared" si="134"/>
        <v>#REF!</v>
      </c>
      <c r="G185" s="42" t="e">
        <f t="shared" si="134"/>
        <v>#REF!</v>
      </c>
      <c r="H185" s="43" t="e">
        <f>+H184/62</f>
        <v>#REF!</v>
      </c>
      <c r="I185" s="43"/>
    </row>
    <row r="187" spans="2:9" ht="15">
      <c r="B187" s="8"/>
      <c r="C187" s="40"/>
      <c r="D187" s="40"/>
      <c r="E187" s="40"/>
      <c r="F187" s="40"/>
      <c r="G187" s="40"/>
      <c r="H187" s="40"/>
      <c r="I187" s="40"/>
    </row>
    <row r="188" spans="2:9" ht="15">
      <c r="B188" s="8"/>
      <c r="C188" s="40"/>
      <c r="G188" s="40"/>
      <c r="H188" s="40"/>
      <c r="I188" s="40"/>
    </row>
  </sheetData>
  <mergeCells count="9">
    <mergeCell ref="C149:G149"/>
    <mergeCell ref="C166:G166"/>
    <mergeCell ref="B1:I1"/>
    <mergeCell ref="B50:I50"/>
    <mergeCell ref="B99:I99"/>
    <mergeCell ref="K50:P50"/>
    <mergeCell ref="R50:W50"/>
    <mergeCell ref="B89:H89"/>
    <mergeCell ref="K3:L3"/>
  </mergeCells>
  <pageMargins left="0.7" right="0.7" top="0.75" bottom="0.75" header="0.3" footer="0.3"/>
  <pageSetup orientation="portrait" r:id="rId1"/>
  <ignoredErrors>
    <ignoredError sqref="S18:V1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56"/>
  <sheetViews>
    <sheetView showGridLines="0" zoomScale="98" zoomScaleNormal="98" workbookViewId="0">
      <selection activeCell="I6" sqref="I6"/>
    </sheetView>
  </sheetViews>
  <sheetFormatPr defaultColWidth="11.5703125" defaultRowHeight="15"/>
  <cols>
    <col min="2" max="2" width="25.42578125" customWidth="1"/>
    <col min="3" max="4" width="21.140625" customWidth="1"/>
    <col min="5" max="5" width="23.28515625" bestFit="1" customWidth="1"/>
    <col min="6" max="7" width="21.140625" customWidth="1"/>
    <col min="8" max="8" width="31.5703125" customWidth="1"/>
    <col min="9" max="9" width="25" bestFit="1" customWidth="1"/>
  </cols>
  <sheetData>
    <row r="3" spans="2:9" ht="15.75">
      <c r="B3" s="306" t="s">
        <v>100</v>
      </c>
      <c r="C3" s="306"/>
      <c r="D3" s="306"/>
      <c r="E3" s="306"/>
      <c r="F3" s="306"/>
      <c r="G3" s="306"/>
      <c r="H3" s="306"/>
      <c r="I3" s="306"/>
    </row>
    <row r="4" spans="2:9" ht="18">
      <c r="B4" s="1"/>
      <c r="C4" s="1"/>
      <c r="D4" s="3"/>
      <c r="E4" s="3"/>
      <c r="F4" s="2"/>
      <c r="G4" s="1"/>
      <c r="H4" s="1"/>
      <c r="I4" s="1"/>
    </row>
    <row r="5" spans="2:9">
      <c r="B5" s="7" t="s">
        <v>113</v>
      </c>
      <c r="C5" s="7" t="s">
        <v>114</v>
      </c>
      <c r="D5" s="7" t="s">
        <v>107</v>
      </c>
      <c r="E5" s="7" t="s">
        <v>108</v>
      </c>
      <c r="F5" s="7" t="s">
        <v>109</v>
      </c>
      <c r="G5" s="7" t="s">
        <v>110</v>
      </c>
      <c r="H5" s="7" t="s">
        <v>111</v>
      </c>
      <c r="I5" s="7" t="s">
        <v>112</v>
      </c>
    </row>
    <row r="6" spans="2:9">
      <c r="B6" s="93" t="s">
        <v>6</v>
      </c>
      <c r="C6" s="94">
        <v>3675</v>
      </c>
      <c r="D6" s="94">
        <v>2670</v>
      </c>
      <c r="E6" s="94">
        <v>1470</v>
      </c>
      <c r="F6" s="94">
        <v>0</v>
      </c>
      <c r="G6" s="94">
        <v>0</v>
      </c>
      <c r="H6" s="94">
        <v>3699</v>
      </c>
      <c r="I6" s="97">
        <f>SUM(C6:H6)</f>
        <v>11514</v>
      </c>
    </row>
    <row r="7" spans="2:9">
      <c r="B7" s="93" t="s">
        <v>101</v>
      </c>
      <c r="C7" s="94">
        <v>3675</v>
      </c>
      <c r="D7" s="94">
        <v>2450.72924145252</v>
      </c>
      <c r="E7" s="94">
        <v>2038.72924145252</v>
      </c>
      <c r="F7" s="94">
        <v>1862.72924145252</v>
      </c>
      <c r="G7" s="94">
        <v>0</v>
      </c>
      <c r="H7" s="94">
        <v>3699</v>
      </c>
      <c r="I7" s="97">
        <f t="shared" ref="I7:I40" si="0">SUM(C7:H7)</f>
        <v>13726.18772435756</v>
      </c>
    </row>
    <row r="8" spans="2:9">
      <c r="B8" s="93" t="s">
        <v>7</v>
      </c>
      <c r="C8" s="94">
        <v>3675</v>
      </c>
      <c r="D8" s="94">
        <v>2670</v>
      </c>
      <c r="E8" s="94"/>
      <c r="F8" s="94">
        <v>0</v>
      </c>
      <c r="G8" s="94">
        <v>0</v>
      </c>
      <c r="H8" s="94">
        <v>3699</v>
      </c>
      <c r="I8" s="97">
        <f t="shared" si="0"/>
        <v>10044</v>
      </c>
    </row>
    <row r="9" spans="2:9">
      <c r="B9" s="93" t="s">
        <v>8</v>
      </c>
      <c r="C9" s="94">
        <v>3675</v>
      </c>
      <c r="D9" s="94">
        <v>2670</v>
      </c>
      <c r="E9" s="94"/>
      <c r="F9" s="94">
        <v>0</v>
      </c>
      <c r="G9" s="94">
        <v>0</v>
      </c>
      <c r="H9" s="94">
        <v>3699</v>
      </c>
      <c r="I9" s="97">
        <f t="shared" si="0"/>
        <v>10044</v>
      </c>
    </row>
    <row r="10" spans="2:9">
      <c r="B10" s="93" t="s">
        <v>9</v>
      </c>
      <c r="C10" s="94">
        <v>3675</v>
      </c>
      <c r="D10" s="94">
        <v>2670</v>
      </c>
      <c r="E10" s="94"/>
      <c r="F10" s="94">
        <v>0</v>
      </c>
      <c r="G10" s="94">
        <v>0</v>
      </c>
      <c r="H10" s="94">
        <v>2625</v>
      </c>
      <c r="I10" s="97">
        <f t="shared" si="0"/>
        <v>8970</v>
      </c>
    </row>
    <row r="11" spans="2:9">
      <c r="B11" s="93" t="s">
        <v>10</v>
      </c>
      <c r="C11" s="94">
        <v>3675</v>
      </c>
      <c r="D11" s="94">
        <v>4514</v>
      </c>
      <c r="E11" s="94">
        <v>735</v>
      </c>
      <c r="F11" s="94">
        <v>0</v>
      </c>
      <c r="G11" s="94">
        <v>882</v>
      </c>
      <c r="H11" s="94">
        <v>5316</v>
      </c>
      <c r="I11" s="97">
        <f t="shared" si="0"/>
        <v>15122</v>
      </c>
    </row>
    <row r="12" spans="2:9">
      <c r="B12" s="93" t="s">
        <v>102</v>
      </c>
      <c r="C12" s="94">
        <v>3675</v>
      </c>
      <c r="D12" s="94">
        <v>6483.9437504216112</v>
      </c>
      <c r="E12" s="94">
        <v>0</v>
      </c>
      <c r="F12" s="94">
        <v>4294</v>
      </c>
      <c r="G12" s="94">
        <v>882</v>
      </c>
      <c r="H12" s="94">
        <v>5316</v>
      </c>
      <c r="I12" s="97">
        <f t="shared" si="0"/>
        <v>20650.943750421611</v>
      </c>
    </row>
    <row r="13" spans="2:9" ht="15.75">
      <c r="B13" s="93" t="s">
        <v>91</v>
      </c>
      <c r="C13" s="94">
        <v>6615</v>
      </c>
      <c r="D13" s="94">
        <v>3270</v>
      </c>
      <c r="E13" s="94">
        <v>1470</v>
      </c>
      <c r="F13" s="94">
        <v>0</v>
      </c>
      <c r="G13" s="94">
        <v>0</v>
      </c>
      <c r="H13" s="94">
        <v>2625</v>
      </c>
      <c r="I13" s="97">
        <f t="shared" si="0"/>
        <v>13980</v>
      </c>
    </row>
    <row r="14" spans="2:9" ht="15.75">
      <c r="B14" s="93" t="s">
        <v>103</v>
      </c>
      <c r="C14" s="94">
        <v>6615</v>
      </c>
      <c r="D14" s="94">
        <v>3274.8362690973208</v>
      </c>
      <c r="E14" s="94">
        <v>3465.8362690973208</v>
      </c>
      <c r="F14" s="94">
        <v>0</v>
      </c>
      <c r="G14" s="94">
        <v>0</v>
      </c>
      <c r="H14" s="94">
        <v>2625</v>
      </c>
      <c r="I14" s="97">
        <f t="shared" si="0"/>
        <v>15980.672538194642</v>
      </c>
    </row>
    <row r="15" spans="2:9">
      <c r="B15" s="93" t="s">
        <v>16</v>
      </c>
      <c r="C15" s="95">
        <v>5145</v>
      </c>
      <c r="D15" s="9">
        <v>10140</v>
      </c>
      <c r="E15" s="9">
        <v>2205</v>
      </c>
      <c r="F15" s="95">
        <v>0</v>
      </c>
      <c r="G15" s="9">
        <v>0</v>
      </c>
      <c r="H15" s="9">
        <v>4440</v>
      </c>
      <c r="I15" s="97">
        <f t="shared" si="0"/>
        <v>21930</v>
      </c>
    </row>
    <row r="16" spans="2:9">
      <c r="B16" s="93" t="s">
        <v>104</v>
      </c>
      <c r="C16" s="95">
        <v>5145</v>
      </c>
      <c r="D16" s="9">
        <v>10140</v>
      </c>
      <c r="E16" s="9">
        <v>3705</v>
      </c>
      <c r="F16" s="95">
        <v>0</v>
      </c>
      <c r="G16" s="9">
        <v>0</v>
      </c>
      <c r="H16" s="9">
        <v>4440</v>
      </c>
      <c r="I16" s="97">
        <f t="shared" si="0"/>
        <v>23430</v>
      </c>
    </row>
    <row r="17" spans="2:10">
      <c r="B17" s="93" t="s">
        <v>12</v>
      </c>
      <c r="C17" s="9">
        <v>4410</v>
      </c>
      <c r="D17" s="9">
        <v>4050</v>
      </c>
      <c r="E17" s="95">
        <v>0</v>
      </c>
      <c r="F17" s="95">
        <v>0</v>
      </c>
      <c r="G17" s="9">
        <v>0</v>
      </c>
      <c r="H17" s="9">
        <v>2325</v>
      </c>
      <c r="I17" s="97">
        <f t="shared" si="0"/>
        <v>10785</v>
      </c>
    </row>
    <row r="18" spans="2:10">
      <c r="B18" s="8" t="s">
        <v>13</v>
      </c>
      <c r="C18" s="9">
        <v>4410</v>
      </c>
      <c r="D18" s="9">
        <v>6000</v>
      </c>
      <c r="E18" s="95">
        <v>0</v>
      </c>
      <c r="F18" s="95">
        <v>0</v>
      </c>
      <c r="G18" s="9">
        <v>0</v>
      </c>
      <c r="H18" s="9">
        <v>4176</v>
      </c>
      <c r="I18" s="97">
        <f>SUM(C18:H18)</f>
        <v>14586</v>
      </c>
    </row>
    <row r="19" spans="2:10">
      <c r="B19" s="8" t="s">
        <v>14</v>
      </c>
      <c r="C19" s="9">
        <v>5880</v>
      </c>
      <c r="D19" s="22">
        <v>2940</v>
      </c>
      <c r="E19" s="95">
        <v>0</v>
      </c>
      <c r="F19" s="95">
        <v>0</v>
      </c>
      <c r="G19" s="9">
        <v>0</v>
      </c>
      <c r="H19" s="22">
        <v>5205</v>
      </c>
      <c r="I19" s="97">
        <f>SUM(C19:H19)</f>
        <v>14025</v>
      </c>
    </row>
    <row r="20" spans="2:10">
      <c r="B20" s="8" t="s">
        <v>15</v>
      </c>
      <c r="C20" s="92">
        <v>8085</v>
      </c>
      <c r="D20" s="92">
        <v>1400</v>
      </c>
      <c r="E20" s="9">
        <v>2823</v>
      </c>
      <c r="F20" s="9">
        <v>0</v>
      </c>
      <c r="G20" s="9">
        <v>0</v>
      </c>
      <c r="H20" s="22">
        <v>4734</v>
      </c>
      <c r="I20" s="97">
        <f t="shared" si="0"/>
        <v>17042</v>
      </c>
    </row>
    <row r="21" spans="2:10">
      <c r="B21" s="8" t="s">
        <v>105</v>
      </c>
      <c r="C21" s="92">
        <v>8085</v>
      </c>
      <c r="D21" s="92">
        <v>2150</v>
      </c>
      <c r="E21" s="9">
        <v>3651.58239095315</v>
      </c>
      <c r="F21" s="9">
        <v>4063.58239095315</v>
      </c>
      <c r="G21" s="9">
        <v>0</v>
      </c>
      <c r="H21" s="22">
        <v>4734</v>
      </c>
      <c r="I21" s="97">
        <f t="shared" si="0"/>
        <v>22684.1647819063</v>
      </c>
    </row>
    <row r="22" spans="2:10">
      <c r="B22" s="8" t="s">
        <v>17</v>
      </c>
      <c r="C22" s="92">
        <v>5145</v>
      </c>
      <c r="D22" s="92">
        <v>2564</v>
      </c>
      <c r="E22" s="9">
        <v>0</v>
      </c>
      <c r="F22" s="9">
        <v>0</v>
      </c>
      <c r="G22" s="9">
        <v>0</v>
      </c>
      <c r="H22" s="22">
        <v>3111</v>
      </c>
      <c r="I22" s="97">
        <f t="shared" si="0"/>
        <v>10820</v>
      </c>
    </row>
    <row r="23" spans="2:10">
      <c r="B23" s="8" t="s">
        <v>106</v>
      </c>
      <c r="C23" s="92">
        <v>5145</v>
      </c>
      <c r="D23" s="92">
        <v>3764</v>
      </c>
      <c r="E23" s="9">
        <v>0</v>
      </c>
      <c r="F23" s="9">
        <v>4588</v>
      </c>
      <c r="G23" s="9">
        <v>0</v>
      </c>
      <c r="H23" s="22">
        <v>3111</v>
      </c>
      <c r="I23" s="97">
        <f t="shared" si="0"/>
        <v>16608</v>
      </c>
    </row>
    <row r="24" spans="2:10">
      <c r="B24" s="8" t="s">
        <v>18</v>
      </c>
      <c r="C24" s="9">
        <v>6000</v>
      </c>
      <c r="D24" s="9">
        <v>77205</v>
      </c>
      <c r="E24" s="22">
        <v>115110</v>
      </c>
      <c r="F24" s="22">
        <v>8882</v>
      </c>
      <c r="G24" s="22">
        <v>2308</v>
      </c>
      <c r="H24" s="9">
        <v>6528</v>
      </c>
      <c r="I24" s="97">
        <f t="shared" si="0"/>
        <v>216033</v>
      </c>
    </row>
    <row r="25" spans="2:10">
      <c r="B25" s="8" t="s">
        <v>19</v>
      </c>
      <c r="C25" s="22">
        <v>6000</v>
      </c>
      <c r="D25" s="22">
        <v>10470</v>
      </c>
      <c r="E25" s="22">
        <v>30105</v>
      </c>
      <c r="F25" s="9">
        <v>4882</v>
      </c>
      <c r="G25" s="9">
        <v>2308</v>
      </c>
      <c r="H25" s="9">
        <v>3705</v>
      </c>
      <c r="I25" s="97">
        <f t="shared" si="0"/>
        <v>57470</v>
      </c>
    </row>
    <row r="26" spans="2:10">
      <c r="B26" s="8" t="s">
        <v>20</v>
      </c>
      <c r="C26" s="22">
        <v>6000</v>
      </c>
      <c r="D26" s="22">
        <v>11470</v>
      </c>
      <c r="E26" s="22">
        <v>51858</v>
      </c>
      <c r="F26" s="9">
        <v>4882</v>
      </c>
      <c r="G26" s="9">
        <v>2308</v>
      </c>
      <c r="H26" s="9">
        <v>2970</v>
      </c>
      <c r="I26" s="97">
        <f>SUM(C26:H26)</f>
        <v>79488</v>
      </c>
    </row>
    <row r="27" spans="2:10">
      <c r="B27" s="8" t="s">
        <v>23</v>
      </c>
      <c r="C27" s="22">
        <v>5145</v>
      </c>
      <c r="D27" s="22">
        <v>2061</v>
      </c>
      <c r="E27" s="22">
        <v>3322.5</v>
      </c>
      <c r="F27" s="9">
        <v>0</v>
      </c>
      <c r="G27" s="9">
        <v>0</v>
      </c>
      <c r="H27" s="9">
        <v>2952</v>
      </c>
      <c r="I27" s="97">
        <f>SUM(C27:H27)</f>
        <v>13480.5</v>
      </c>
    </row>
    <row r="28" spans="2:10" ht="15.75">
      <c r="B28" s="8" t="s">
        <v>92</v>
      </c>
      <c r="C28" s="22">
        <v>8749.5</v>
      </c>
      <c r="D28" s="22">
        <v>0</v>
      </c>
      <c r="E28" s="22">
        <v>1200</v>
      </c>
      <c r="F28" s="9">
        <v>8600</v>
      </c>
      <c r="G28" s="9">
        <v>69940</v>
      </c>
      <c r="H28" s="9">
        <v>2940</v>
      </c>
      <c r="I28" s="97">
        <f>SUM(C28:H28)</f>
        <v>91429.5</v>
      </c>
    </row>
    <row r="29" spans="2:10">
      <c r="B29" s="8" t="s">
        <v>25</v>
      </c>
      <c r="C29" s="22"/>
      <c r="D29" s="22"/>
      <c r="E29" s="95">
        <v>7220</v>
      </c>
      <c r="F29" s="95">
        <v>0</v>
      </c>
      <c r="G29" s="9">
        <v>0</v>
      </c>
      <c r="H29" s="94">
        <v>1470</v>
      </c>
      <c r="I29" s="97">
        <f t="shared" si="0"/>
        <v>8690</v>
      </c>
      <c r="J29" s="109"/>
    </row>
    <row r="30" spans="2:10">
      <c r="B30" s="8" t="s">
        <v>96</v>
      </c>
      <c r="C30" s="22"/>
      <c r="D30" s="22"/>
      <c r="E30" s="95">
        <v>0</v>
      </c>
      <c r="F30" s="95">
        <v>0</v>
      </c>
      <c r="G30" s="9">
        <v>0</v>
      </c>
      <c r="H30" s="94"/>
      <c r="I30" s="97">
        <f t="shared" si="0"/>
        <v>0</v>
      </c>
    </row>
    <row r="31" spans="2:10">
      <c r="B31" s="8" t="s">
        <v>26</v>
      </c>
      <c r="C31" s="92">
        <v>6000</v>
      </c>
      <c r="D31" s="92">
        <v>10470</v>
      </c>
      <c r="E31" s="92">
        <v>0</v>
      </c>
      <c r="F31" s="92">
        <v>10882</v>
      </c>
      <c r="G31" s="92">
        <v>2308</v>
      </c>
      <c r="H31" s="92">
        <v>3705</v>
      </c>
      <c r="I31" s="97">
        <f t="shared" si="0"/>
        <v>33365</v>
      </c>
    </row>
    <row r="32" spans="2:10">
      <c r="B32" s="8" t="s">
        <v>27</v>
      </c>
      <c r="C32" s="92">
        <v>38110</v>
      </c>
      <c r="D32" s="92">
        <f>776153/10</f>
        <v>77615.3</v>
      </c>
      <c r="E32" s="92">
        <v>65365</v>
      </c>
      <c r="F32" s="92">
        <v>50777</v>
      </c>
      <c r="G32" s="92">
        <v>37191</v>
      </c>
      <c r="H32" s="92">
        <v>77785</v>
      </c>
      <c r="I32" s="97">
        <f t="shared" si="0"/>
        <v>346843.3</v>
      </c>
    </row>
    <row r="33" spans="2:9">
      <c r="B33" s="8" t="s">
        <v>28</v>
      </c>
      <c r="C33" s="92">
        <v>14804</v>
      </c>
      <c r="D33" s="92">
        <v>116910</v>
      </c>
      <c r="E33" s="92">
        <v>40700</v>
      </c>
      <c r="F33" s="92">
        <v>41570</v>
      </c>
      <c r="G33" s="92">
        <v>55658</v>
      </c>
      <c r="H33" s="92">
        <v>24609</v>
      </c>
      <c r="I33" s="97">
        <f t="shared" si="0"/>
        <v>294251</v>
      </c>
    </row>
    <row r="34" spans="2:9">
      <c r="B34" s="8" t="s">
        <v>29</v>
      </c>
      <c r="C34" s="92">
        <v>42272.5</v>
      </c>
      <c r="D34" s="92">
        <v>90948.125</v>
      </c>
      <c r="E34" s="92">
        <v>143135</v>
      </c>
      <c r="F34" s="92">
        <v>86967</v>
      </c>
      <c r="G34" s="92">
        <v>137610</v>
      </c>
      <c r="H34" s="92">
        <v>92139</v>
      </c>
      <c r="I34" s="97">
        <f t="shared" si="0"/>
        <v>593071.625</v>
      </c>
    </row>
    <row r="35" spans="2:9">
      <c r="B35" s="8" t="s">
        <v>30</v>
      </c>
      <c r="C35" s="92">
        <v>3650.8</v>
      </c>
      <c r="D35" s="92">
        <v>88146.8</v>
      </c>
      <c r="E35" s="92">
        <v>10537.5</v>
      </c>
      <c r="F35" s="92">
        <v>8158.6</v>
      </c>
      <c r="G35" s="92">
        <v>37664</v>
      </c>
      <c r="H35" s="92">
        <v>3136</v>
      </c>
      <c r="I35" s="97">
        <f t="shared" si="0"/>
        <v>151293.70000000001</v>
      </c>
    </row>
    <row r="36" spans="2:9">
      <c r="B36" s="8" t="s">
        <v>97</v>
      </c>
      <c r="C36" s="92">
        <v>14569.5</v>
      </c>
      <c r="D36" s="92">
        <f>427352/10</f>
        <v>42735.199999999997</v>
      </c>
      <c r="E36" s="92">
        <v>52687.5</v>
      </c>
      <c r="F36" s="92">
        <v>59156</v>
      </c>
      <c r="G36" s="92">
        <v>197365</v>
      </c>
      <c r="H36" s="92">
        <v>19698</v>
      </c>
      <c r="I36" s="97">
        <f t="shared" si="0"/>
        <v>386211.2</v>
      </c>
    </row>
    <row r="37" spans="2:9">
      <c r="B37" s="8" t="s">
        <v>98</v>
      </c>
      <c r="C37" s="92">
        <v>1521.5833333333333</v>
      </c>
      <c r="D37" s="92">
        <v>104411.66666666667</v>
      </c>
      <c r="E37" s="92">
        <v>1600</v>
      </c>
      <c r="F37" s="92">
        <v>4392</v>
      </c>
      <c r="G37" s="92">
        <v>11342.566666666666</v>
      </c>
      <c r="H37" s="92">
        <v>17037.666666666668</v>
      </c>
      <c r="I37" s="97">
        <f t="shared" si="0"/>
        <v>140305.48333333334</v>
      </c>
    </row>
    <row r="38" spans="2:9">
      <c r="B38" s="8" t="s">
        <v>99</v>
      </c>
      <c r="C38">
        <v>13249.5</v>
      </c>
      <c r="D38">
        <v>80850</v>
      </c>
      <c r="E38">
        <v>9600</v>
      </c>
      <c r="F38">
        <v>9911</v>
      </c>
      <c r="G38">
        <v>70945</v>
      </c>
      <c r="H38">
        <v>78814</v>
      </c>
      <c r="I38" s="97">
        <f t="shared" si="0"/>
        <v>263369.5</v>
      </c>
    </row>
    <row r="39" spans="2:9">
      <c r="B39" s="8" t="s">
        <v>21</v>
      </c>
      <c r="C39" s="92"/>
      <c r="D39" s="92"/>
      <c r="E39" s="92">
        <v>4000</v>
      </c>
      <c r="F39" s="92"/>
      <c r="G39" s="92"/>
      <c r="H39" s="92">
        <v>3000</v>
      </c>
      <c r="I39" s="97">
        <f t="shared" si="0"/>
        <v>7000</v>
      </c>
    </row>
    <row r="40" spans="2:9">
      <c r="B40" s="8" t="s">
        <v>22</v>
      </c>
      <c r="C40" s="92"/>
      <c r="D40" s="92"/>
      <c r="E40" s="92">
        <v>11346</v>
      </c>
      <c r="F40" s="92"/>
      <c r="G40" s="92"/>
      <c r="H40" s="92">
        <v>18000</v>
      </c>
      <c r="I40" s="97">
        <f t="shared" si="0"/>
        <v>29346</v>
      </c>
    </row>
    <row r="41" spans="2:9">
      <c r="B41" s="13"/>
      <c r="C41" s="14"/>
      <c r="D41" s="14"/>
      <c r="E41" s="14"/>
      <c r="F41" s="14"/>
      <c r="G41" s="14"/>
      <c r="H41" s="14"/>
      <c r="I41" s="79"/>
    </row>
    <row r="43" spans="2:9" ht="15.75">
      <c r="B43" s="306" t="s">
        <v>151</v>
      </c>
      <c r="C43" s="306"/>
      <c r="D43" s="306"/>
      <c r="E43" s="306"/>
      <c r="F43" s="306"/>
      <c r="G43" s="306"/>
      <c r="H43" s="306"/>
      <c r="I43" s="306"/>
    </row>
    <row r="44" spans="2:9" ht="18">
      <c r="B44" s="1"/>
      <c r="C44" s="1"/>
      <c r="D44" s="3"/>
      <c r="E44" s="3"/>
      <c r="F44" s="2"/>
      <c r="G44" s="1"/>
      <c r="H44" s="1"/>
      <c r="I44" s="1"/>
    </row>
    <row r="45" spans="2:9">
      <c r="B45" s="7" t="s">
        <v>152</v>
      </c>
      <c r="C45" s="7" t="s">
        <v>153</v>
      </c>
      <c r="D45" s="7" t="s">
        <v>154</v>
      </c>
      <c r="E45" s="7" t="s">
        <v>155</v>
      </c>
      <c r="F45" s="7" t="s">
        <v>156</v>
      </c>
      <c r="G45" s="7" t="s">
        <v>157</v>
      </c>
      <c r="H45" s="7" t="s">
        <v>162</v>
      </c>
    </row>
    <row r="46" spans="2:9">
      <c r="B46" s="8" t="s">
        <v>158</v>
      </c>
      <c r="C46" s="124">
        <v>0</v>
      </c>
      <c r="D46" s="124">
        <v>25.320000000000004</v>
      </c>
      <c r="E46" s="124">
        <v>24.16</v>
      </c>
      <c r="F46" s="124">
        <v>0</v>
      </c>
      <c r="G46" s="124">
        <v>447.125</v>
      </c>
      <c r="H46" s="125">
        <f>SUM(C46:G46)</f>
        <v>496.60500000000002</v>
      </c>
      <c r="I46" s="124"/>
    </row>
    <row r="47" spans="2:9">
      <c r="B47" s="8" t="s">
        <v>166</v>
      </c>
      <c r="C47" s="124">
        <v>170</v>
      </c>
      <c r="D47" s="124">
        <v>35.869999999999997</v>
      </c>
      <c r="E47" s="124">
        <v>33.200000000000003</v>
      </c>
      <c r="F47" s="124">
        <v>25.5244</v>
      </c>
      <c r="G47" s="124">
        <v>447.125</v>
      </c>
      <c r="H47" s="125">
        <f t="shared" ref="H47:H55" si="1">SUM(C47:G47)</f>
        <v>711.71939999999995</v>
      </c>
      <c r="I47" s="124"/>
    </row>
    <row r="48" spans="2:9">
      <c r="B48" s="8" t="s">
        <v>159</v>
      </c>
      <c r="C48" s="124">
        <v>0</v>
      </c>
      <c r="D48" s="124">
        <v>0</v>
      </c>
      <c r="E48" s="124">
        <v>0</v>
      </c>
      <c r="F48" s="124">
        <v>0</v>
      </c>
      <c r="G48" s="124">
        <v>447.125</v>
      </c>
      <c r="H48" s="125">
        <f t="shared" si="1"/>
        <v>447.125</v>
      </c>
      <c r="I48" s="124"/>
    </row>
    <row r="49" spans="2:9">
      <c r="B49" s="8" t="s">
        <v>167</v>
      </c>
      <c r="C49" s="124">
        <v>100</v>
      </c>
      <c r="D49" s="124">
        <v>0</v>
      </c>
      <c r="E49" s="124">
        <v>0</v>
      </c>
      <c r="F49" s="124">
        <v>0</v>
      </c>
      <c r="G49" s="124">
        <v>447.125</v>
      </c>
      <c r="H49" s="125">
        <f t="shared" si="1"/>
        <v>547.125</v>
      </c>
      <c r="I49" s="124"/>
    </row>
    <row r="50" spans="2:9">
      <c r="B50" s="8" t="s">
        <v>160</v>
      </c>
      <c r="C50" s="124">
        <v>0</v>
      </c>
      <c r="D50" s="124">
        <v>0</v>
      </c>
      <c r="E50" s="124">
        <v>0</v>
      </c>
      <c r="F50" s="124">
        <v>5250</v>
      </c>
      <c r="G50" s="124">
        <v>220.5</v>
      </c>
      <c r="H50" s="125">
        <f t="shared" si="1"/>
        <v>5470.5</v>
      </c>
      <c r="I50" s="124"/>
    </row>
    <row r="51" spans="2:9">
      <c r="B51" s="8" t="s">
        <v>168</v>
      </c>
      <c r="C51" s="124">
        <v>170</v>
      </c>
      <c r="D51" s="124">
        <v>0</v>
      </c>
      <c r="E51" s="124">
        <v>0</v>
      </c>
      <c r="F51" s="124">
        <v>5100.46</v>
      </c>
      <c r="G51" s="124">
        <v>176.4</v>
      </c>
      <c r="H51" s="125">
        <f t="shared" si="1"/>
        <v>5446.86</v>
      </c>
      <c r="I51" s="124"/>
    </row>
    <row r="52" spans="2:9">
      <c r="B52" s="8" t="s">
        <v>149</v>
      </c>
      <c r="C52" s="124">
        <v>0</v>
      </c>
      <c r="D52" s="124">
        <v>1</v>
      </c>
      <c r="E52" s="124">
        <v>0</v>
      </c>
      <c r="F52" s="124">
        <v>147.6</v>
      </c>
      <c r="G52" s="124">
        <v>5.4</v>
      </c>
      <c r="H52" s="125">
        <f t="shared" si="1"/>
        <v>154</v>
      </c>
      <c r="I52" s="124"/>
    </row>
    <row r="53" spans="2:9">
      <c r="B53" s="8" t="s">
        <v>170</v>
      </c>
      <c r="C53" s="124">
        <v>0</v>
      </c>
      <c r="D53" s="124">
        <v>1</v>
      </c>
      <c r="E53" s="124">
        <v>0</v>
      </c>
      <c r="F53" s="124">
        <v>147.6</v>
      </c>
      <c r="G53" s="124">
        <v>5.4</v>
      </c>
      <c r="H53" s="125">
        <f t="shared" si="1"/>
        <v>154</v>
      </c>
      <c r="I53" s="124"/>
    </row>
    <row r="54" spans="2:9">
      <c r="B54" s="8" t="s">
        <v>161</v>
      </c>
      <c r="C54" s="124">
        <v>0</v>
      </c>
      <c r="D54" s="124">
        <v>1</v>
      </c>
      <c r="E54" s="124">
        <v>0</v>
      </c>
      <c r="F54" s="124">
        <v>53.64</v>
      </c>
      <c r="G54" s="124">
        <v>5.4</v>
      </c>
      <c r="H54" s="125">
        <f t="shared" si="1"/>
        <v>60.04</v>
      </c>
      <c r="I54" s="124"/>
    </row>
    <row r="55" spans="2:9">
      <c r="B55" s="8" t="s">
        <v>169</v>
      </c>
      <c r="C55" s="124">
        <v>0</v>
      </c>
      <c r="D55" s="124">
        <v>1</v>
      </c>
      <c r="E55" s="124">
        <v>0</v>
      </c>
      <c r="F55" s="124">
        <v>53.64</v>
      </c>
      <c r="G55" s="124">
        <v>5.4</v>
      </c>
      <c r="H55" s="125">
        <f t="shared" si="1"/>
        <v>60.04</v>
      </c>
      <c r="I55" s="124"/>
    </row>
    <row r="56" spans="2:9">
      <c r="B56" s="13"/>
      <c r="C56" s="14"/>
      <c r="D56" s="14"/>
      <c r="E56" s="14"/>
      <c r="F56" s="14"/>
      <c r="G56" s="14"/>
      <c r="H56" s="14"/>
    </row>
  </sheetData>
  <mergeCells count="2">
    <mergeCell ref="B3:I3"/>
    <mergeCell ref="B43:I4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AB57"/>
  <sheetViews>
    <sheetView showGridLines="0" topLeftCell="N1" zoomScale="83" zoomScaleNormal="100" workbookViewId="0">
      <selection activeCell="O35" sqref="O35"/>
    </sheetView>
  </sheetViews>
  <sheetFormatPr defaultColWidth="11.5703125" defaultRowHeight="12.75"/>
  <cols>
    <col min="1" max="1" width="7.28515625" style="98" customWidth="1"/>
    <col min="2" max="2" width="18.28515625" style="98" customWidth="1"/>
    <col min="3" max="3" width="23.42578125" style="98" bestFit="1" customWidth="1"/>
    <col min="4" max="4" width="18.28515625" style="98" customWidth="1"/>
    <col min="5" max="5" width="19.7109375" style="98" bestFit="1" customWidth="1"/>
    <col min="6" max="6" width="15.28515625" style="98" customWidth="1"/>
    <col min="7" max="8" width="19.7109375" style="98" bestFit="1" customWidth="1"/>
    <col min="9" max="9" width="18.28515625" style="101" customWidth="1"/>
    <col min="10" max="10" width="24.7109375" style="98" bestFit="1" customWidth="1"/>
    <col min="11" max="13" width="20.28515625" style="98" customWidth="1"/>
    <col min="14" max="14" width="20.28515625" style="117" bestFit="1" customWidth="1"/>
    <col min="15" max="15" width="20.7109375" style="98" customWidth="1"/>
    <col min="16" max="16" width="22.28515625" style="98" customWidth="1"/>
    <col min="17" max="19" width="20.28515625" style="98" customWidth="1"/>
    <col min="20" max="20" width="20.28515625" style="98" bestFit="1" customWidth="1"/>
    <col min="21" max="21" width="21.28515625" style="98" customWidth="1"/>
    <col min="22" max="22" width="22.42578125" style="98" bestFit="1" customWidth="1"/>
    <col min="23" max="25" width="20.7109375" style="98" customWidth="1"/>
    <col min="26" max="26" width="20.7109375" style="98" bestFit="1" customWidth="1"/>
    <col min="27" max="27" width="21.140625" style="98" customWidth="1"/>
    <col min="28" max="256" width="8.7109375" style="98" customWidth="1"/>
    <col min="257" max="257" width="7.28515625" style="98" customWidth="1"/>
    <col min="258" max="258" width="18.28515625" style="98" customWidth="1"/>
    <col min="259" max="259" width="23.42578125" style="98" bestFit="1" customWidth="1"/>
    <col min="260" max="261" width="10.140625" style="98" bestFit="1" customWidth="1"/>
    <col min="262" max="264" width="10.140625" style="98" customWidth="1"/>
    <col min="265" max="265" width="16.28515625" style="98" customWidth="1"/>
    <col min="266" max="266" width="20.28515625" style="98" bestFit="1" customWidth="1"/>
    <col min="267" max="269" width="20.28515625" style="98" customWidth="1"/>
    <col min="270" max="270" width="20.28515625" style="98" bestFit="1" customWidth="1"/>
    <col min="271" max="271" width="15.42578125" style="98" customWidth="1"/>
    <col min="272" max="272" width="20.28515625" style="98" bestFit="1" customWidth="1"/>
    <col min="273" max="275" width="20.28515625" style="98" customWidth="1"/>
    <col min="276" max="276" width="20.28515625" style="98" bestFit="1" customWidth="1"/>
    <col min="277" max="277" width="15.42578125" style="98" customWidth="1"/>
    <col min="278" max="278" width="20.7109375" style="98" bestFit="1" customWidth="1"/>
    <col min="279" max="281" width="20.7109375" style="98" customWidth="1"/>
    <col min="282" max="282" width="20.7109375" style="98" bestFit="1" customWidth="1"/>
    <col min="283" max="283" width="12.140625" style="98" customWidth="1"/>
    <col min="284" max="512" width="8.7109375" style="98" customWidth="1"/>
    <col min="513" max="513" width="7.28515625" style="98" customWidth="1"/>
    <col min="514" max="514" width="18.28515625" style="98" customWidth="1"/>
    <col min="515" max="515" width="23.42578125" style="98" bestFit="1" customWidth="1"/>
    <col min="516" max="517" width="10.140625" style="98" bestFit="1" customWidth="1"/>
    <col min="518" max="520" width="10.140625" style="98" customWidth="1"/>
    <col min="521" max="521" width="16.28515625" style="98" customWidth="1"/>
    <col min="522" max="522" width="20.28515625" style="98" bestFit="1" customWidth="1"/>
    <col min="523" max="525" width="20.28515625" style="98" customWidth="1"/>
    <col min="526" max="526" width="20.28515625" style="98" bestFit="1" customWidth="1"/>
    <col min="527" max="527" width="15.42578125" style="98" customWidth="1"/>
    <col min="528" max="528" width="20.28515625" style="98" bestFit="1" customWidth="1"/>
    <col min="529" max="531" width="20.28515625" style="98" customWidth="1"/>
    <col min="532" max="532" width="20.28515625" style="98" bestFit="1" customWidth="1"/>
    <col min="533" max="533" width="15.42578125" style="98" customWidth="1"/>
    <col min="534" max="534" width="20.7109375" style="98" bestFit="1" customWidth="1"/>
    <col min="535" max="537" width="20.7109375" style="98" customWidth="1"/>
    <col min="538" max="538" width="20.7109375" style="98" bestFit="1" customWidth="1"/>
    <col min="539" max="539" width="12.140625" style="98" customWidth="1"/>
    <col min="540" max="768" width="8.7109375" style="98" customWidth="1"/>
    <col min="769" max="769" width="7.28515625" style="98" customWidth="1"/>
    <col min="770" max="770" width="18.28515625" style="98" customWidth="1"/>
    <col min="771" max="771" width="23.42578125" style="98" bestFit="1" customWidth="1"/>
    <col min="772" max="773" width="10.140625" style="98" bestFit="1" customWidth="1"/>
    <col min="774" max="776" width="10.140625" style="98" customWidth="1"/>
    <col min="777" max="777" width="16.28515625" style="98" customWidth="1"/>
    <col min="778" max="778" width="20.28515625" style="98" bestFit="1" customWidth="1"/>
    <col min="779" max="781" width="20.28515625" style="98" customWidth="1"/>
    <col min="782" max="782" width="20.28515625" style="98" bestFit="1" customWidth="1"/>
    <col min="783" max="783" width="15.42578125" style="98" customWidth="1"/>
    <col min="784" max="784" width="20.28515625" style="98" bestFit="1" customWidth="1"/>
    <col min="785" max="787" width="20.28515625" style="98" customWidth="1"/>
    <col min="788" max="788" width="20.28515625" style="98" bestFit="1" customWidth="1"/>
    <col min="789" max="789" width="15.42578125" style="98" customWidth="1"/>
    <col min="790" max="790" width="20.7109375" style="98" bestFit="1" customWidth="1"/>
    <col min="791" max="793" width="20.7109375" style="98" customWidth="1"/>
    <col min="794" max="794" width="20.7109375" style="98" bestFit="1" customWidth="1"/>
    <col min="795" max="795" width="12.140625" style="98" customWidth="1"/>
    <col min="796" max="1024" width="8.7109375" style="98" customWidth="1"/>
    <col min="1025" max="1025" width="7.28515625" style="98" customWidth="1"/>
    <col min="1026" max="1026" width="18.28515625" style="98" customWidth="1"/>
    <col min="1027" max="1027" width="23.42578125" style="98" bestFit="1" customWidth="1"/>
    <col min="1028" max="1029" width="10.140625" style="98" bestFit="1" customWidth="1"/>
    <col min="1030" max="1032" width="10.140625" style="98" customWidth="1"/>
    <col min="1033" max="1033" width="16.28515625" style="98" customWidth="1"/>
    <col min="1034" max="1034" width="20.28515625" style="98" bestFit="1" customWidth="1"/>
    <col min="1035" max="1037" width="20.28515625" style="98" customWidth="1"/>
    <col min="1038" max="1038" width="20.28515625" style="98" bestFit="1" customWidth="1"/>
    <col min="1039" max="1039" width="15.42578125" style="98" customWidth="1"/>
    <col min="1040" max="1040" width="20.28515625" style="98" bestFit="1" customWidth="1"/>
    <col min="1041" max="1043" width="20.28515625" style="98" customWidth="1"/>
    <col min="1044" max="1044" width="20.28515625" style="98" bestFit="1" customWidth="1"/>
    <col min="1045" max="1045" width="15.42578125" style="98" customWidth="1"/>
    <col min="1046" max="1046" width="20.7109375" style="98" bestFit="1" customWidth="1"/>
    <col min="1047" max="1049" width="20.7109375" style="98" customWidth="1"/>
    <col min="1050" max="1050" width="20.7109375" style="98" bestFit="1" customWidth="1"/>
    <col min="1051" max="1051" width="12.140625" style="98" customWidth="1"/>
    <col min="1052" max="1280" width="8.7109375" style="98" customWidth="1"/>
    <col min="1281" max="1281" width="7.28515625" style="98" customWidth="1"/>
    <col min="1282" max="1282" width="18.28515625" style="98" customWidth="1"/>
    <col min="1283" max="1283" width="23.42578125" style="98" bestFit="1" customWidth="1"/>
    <col min="1284" max="1285" width="10.140625" style="98" bestFit="1" customWidth="1"/>
    <col min="1286" max="1288" width="10.140625" style="98" customWidth="1"/>
    <col min="1289" max="1289" width="16.28515625" style="98" customWidth="1"/>
    <col min="1290" max="1290" width="20.28515625" style="98" bestFit="1" customWidth="1"/>
    <col min="1291" max="1293" width="20.28515625" style="98" customWidth="1"/>
    <col min="1294" max="1294" width="20.28515625" style="98" bestFit="1" customWidth="1"/>
    <col min="1295" max="1295" width="15.42578125" style="98" customWidth="1"/>
    <col min="1296" max="1296" width="20.28515625" style="98" bestFit="1" customWidth="1"/>
    <col min="1297" max="1299" width="20.28515625" style="98" customWidth="1"/>
    <col min="1300" max="1300" width="20.28515625" style="98" bestFit="1" customWidth="1"/>
    <col min="1301" max="1301" width="15.42578125" style="98" customWidth="1"/>
    <col min="1302" max="1302" width="20.7109375" style="98" bestFit="1" customWidth="1"/>
    <col min="1303" max="1305" width="20.7109375" style="98" customWidth="1"/>
    <col min="1306" max="1306" width="20.7109375" style="98" bestFit="1" customWidth="1"/>
    <col min="1307" max="1307" width="12.140625" style="98" customWidth="1"/>
    <col min="1308" max="1536" width="8.7109375" style="98" customWidth="1"/>
    <col min="1537" max="1537" width="7.28515625" style="98" customWidth="1"/>
    <col min="1538" max="1538" width="18.28515625" style="98" customWidth="1"/>
    <col min="1539" max="1539" width="23.42578125" style="98" bestFit="1" customWidth="1"/>
    <col min="1540" max="1541" width="10.140625" style="98" bestFit="1" customWidth="1"/>
    <col min="1542" max="1544" width="10.140625" style="98" customWidth="1"/>
    <col min="1545" max="1545" width="16.28515625" style="98" customWidth="1"/>
    <col min="1546" max="1546" width="20.28515625" style="98" bestFit="1" customWidth="1"/>
    <col min="1547" max="1549" width="20.28515625" style="98" customWidth="1"/>
    <col min="1550" max="1550" width="20.28515625" style="98" bestFit="1" customWidth="1"/>
    <col min="1551" max="1551" width="15.42578125" style="98" customWidth="1"/>
    <col min="1552" max="1552" width="20.28515625" style="98" bestFit="1" customWidth="1"/>
    <col min="1553" max="1555" width="20.28515625" style="98" customWidth="1"/>
    <col min="1556" max="1556" width="20.28515625" style="98" bestFit="1" customWidth="1"/>
    <col min="1557" max="1557" width="15.42578125" style="98" customWidth="1"/>
    <col min="1558" max="1558" width="20.7109375" style="98" bestFit="1" customWidth="1"/>
    <col min="1559" max="1561" width="20.7109375" style="98" customWidth="1"/>
    <col min="1562" max="1562" width="20.7109375" style="98" bestFit="1" customWidth="1"/>
    <col min="1563" max="1563" width="12.140625" style="98" customWidth="1"/>
    <col min="1564" max="1792" width="8.7109375" style="98" customWidth="1"/>
    <col min="1793" max="1793" width="7.28515625" style="98" customWidth="1"/>
    <col min="1794" max="1794" width="18.28515625" style="98" customWidth="1"/>
    <col min="1795" max="1795" width="23.42578125" style="98" bestFit="1" customWidth="1"/>
    <col min="1796" max="1797" width="10.140625" style="98" bestFit="1" customWidth="1"/>
    <col min="1798" max="1800" width="10.140625" style="98" customWidth="1"/>
    <col min="1801" max="1801" width="16.28515625" style="98" customWidth="1"/>
    <col min="1802" max="1802" width="20.28515625" style="98" bestFit="1" customWidth="1"/>
    <col min="1803" max="1805" width="20.28515625" style="98" customWidth="1"/>
    <col min="1806" max="1806" width="20.28515625" style="98" bestFit="1" customWidth="1"/>
    <col min="1807" max="1807" width="15.42578125" style="98" customWidth="1"/>
    <col min="1808" max="1808" width="20.28515625" style="98" bestFit="1" customWidth="1"/>
    <col min="1809" max="1811" width="20.28515625" style="98" customWidth="1"/>
    <col min="1812" max="1812" width="20.28515625" style="98" bestFit="1" customWidth="1"/>
    <col min="1813" max="1813" width="15.42578125" style="98" customWidth="1"/>
    <col min="1814" max="1814" width="20.7109375" style="98" bestFit="1" customWidth="1"/>
    <col min="1815" max="1817" width="20.7109375" style="98" customWidth="1"/>
    <col min="1818" max="1818" width="20.7109375" style="98" bestFit="1" customWidth="1"/>
    <col min="1819" max="1819" width="12.140625" style="98" customWidth="1"/>
    <col min="1820" max="2048" width="8.7109375" style="98" customWidth="1"/>
    <col min="2049" max="2049" width="7.28515625" style="98" customWidth="1"/>
    <col min="2050" max="2050" width="18.28515625" style="98" customWidth="1"/>
    <col min="2051" max="2051" width="23.42578125" style="98" bestFit="1" customWidth="1"/>
    <col min="2052" max="2053" width="10.140625" style="98" bestFit="1" customWidth="1"/>
    <col min="2054" max="2056" width="10.140625" style="98" customWidth="1"/>
    <col min="2057" max="2057" width="16.28515625" style="98" customWidth="1"/>
    <col min="2058" max="2058" width="20.28515625" style="98" bestFit="1" customWidth="1"/>
    <col min="2059" max="2061" width="20.28515625" style="98" customWidth="1"/>
    <col min="2062" max="2062" width="20.28515625" style="98" bestFit="1" customWidth="1"/>
    <col min="2063" max="2063" width="15.42578125" style="98" customWidth="1"/>
    <col min="2064" max="2064" width="20.28515625" style="98" bestFit="1" customWidth="1"/>
    <col min="2065" max="2067" width="20.28515625" style="98" customWidth="1"/>
    <col min="2068" max="2068" width="20.28515625" style="98" bestFit="1" customWidth="1"/>
    <col min="2069" max="2069" width="15.42578125" style="98" customWidth="1"/>
    <col min="2070" max="2070" width="20.7109375" style="98" bestFit="1" customWidth="1"/>
    <col min="2071" max="2073" width="20.7109375" style="98" customWidth="1"/>
    <col min="2074" max="2074" width="20.7109375" style="98" bestFit="1" customWidth="1"/>
    <col min="2075" max="2075" width="12.140625" style="98" customWidth="1"/>
    <col min="2076" max="2304" width="8.7109375" style="98" customWidth="1"/>
    <col min="2305" max="2305" width="7.28515625" style="98" customWidth="1"/>
    <col min="2306" max="2306" width="18.28515625" style="98" customWidth="1"/>
    <col min="2307" max="2307" width="23.42578125" style="98" bestFit="1" customWidth="1"/>
    <col min="2308" max="2309" width="10.140625" style="98" bestFit="1" customWidth="1"/>
    <col min="2310" max="2312" width="10.140625" style="98" customWidth="1"/>
    <col min="2313" max="2313" width="16.28515625" style="98" customWidth="1"/>
    <col min="2314" max="2314" width="20.28515625" style="98" bestFit="1" customWidth="1"/>
    <col min="2315" max="2317" width="20.28515625" style="98" customWidth="1"/>
    <col min="2318" max="2318" width="20.28515625" style="98" bestFit="1" customWidth="1"/>
    <col min="2319" max="2319" width="15.42578125" style="98" customWidth="1"/>
    <col min="2320" max="2320" width="20.28515625" style="98" bestFit="1" customWidth="1"/>
    <col min="2321" max="2323" width="20.28515625" style="98" customWidth="1"/>
    <col min="2324" max="2324" width="20.28515625" style="98" bestFit="1" customWidth="1"/>
    <col min="2325" max="2325" width="15.42578125" style="98" customWidth="1"/>
    <col min="2326" max="2326" width="20.7109375" style="98" bestFit="1" customWidth="1"/>
    <col min="2327" max="2329" width="20.7109375" style="98" customWidth="1"/>
    <col min="2330" max="2330" width="20.7109375" style="98" bestFit="1" customWidth="1"/>
    <col min="2331" max="2331" width="12.140625" style="98" customWidth="1"/>
    <col min="2332" max="2560" width="8.7109375" style="98" customWidth="1"/>
    <col min="2561" max="2561" width="7.28515625" style="98" customWidth="1"/>
    <col min="2562" max="2562" width="18.28515625" style="98" customWidth="1"/>
    <col min="2563" max="2563" width="23.42578125" style="98" bestFit="1" customWidth="1"/>
    <col min="2564" max="2565" width="10.140625" style="98" bestFit="1" customWidth="1"/>
    <col min="2566" max="2568" width="10.140625" style="98" customWidth="1"/>
    <col min="2569" max="2569" width="16.28515625" style="98" customWidth="1"/>
    <col min="2570" max="2570" width="20.28515625" style="98" bestFit="1" customWidth="1"/>
    <col min="2571" max="2573" width="20.28515625" style="98" customWidth="1"/>
    <col min="2574" max="2574" width="20.28515625" style="98" bestFit="1" customWidth="1"/>
    <col min="2575" max="2575" width="15.42578125" style="98" customWidth="1"/>
    <col min="2576" max="2576" width="20.28515625" style="98" bestFit="1" customWidth="1"/>
    <col min="2577" max="2579" width="20.28515625" style="98" customWidth="1"/>
    <col min="2580" max="2580" width="20.28515625" style="98" bestFit="1" customWidth="1"/>
    <col min="2581" max="2581" width="15.42578125" style="98" customWidth="1"/>
    <col min="2582" max="2582" width="20.7109375" style="98" bestFit="1" customWidth="1"/>
    <col min="2583" max="2585" width="20.7109375" style="98" customWidth="1"/>
    <col min="2586" max="2586" width="20.7109375" style="98" bestFit="1" customWidth="1"/>
    <col min="2587" max="2587" width="12.140625" style="98" customWidth="1"/>
    <col min="2588" max="2816" width="8.7109375" style="98" customWidth="1"/>
    <col min="2817" max="2817" width="7.28515625" style="98" customWidth="1"/>
    <col min="2818" max="2818" width="18.28515625" style="98" customWidth="1"/>
    <col min="2819" max="2819" width="23.42578125" style="98" bestFit="1" customWidth="1"/>
    <col min="2820" max="2821" width="10.140625" style="98" bestFit="1" customWidth="1"/>
    <col min="2822" max="2824" width="10.140625" style="98" customWidth="1"/>
    <col min="2825" max="2825" width="16.28515625" style="98" customWidth="1"/>
    <col min="2826" max="2826" width="20.28515625" style="98" bestFit="1" customWidth="1"/>
    <col min="2827" max="2829" width="20.28515625" style="98" customWidth="1"/>
    <col min="2830" max="2830" width="20.28515625" style="98" bestFit="1" customWidth="1"/>
    <col min="2831" max="2831" width="15.42578125" style="98" customWidth="1"/>
    <col min="2832" max="2832" width="20.28515625" style="98" bestFit="1" customWidth="1"/>
    <col min="2833" max="2835" width="20.28515625" style="98" customWidth="1"/>
    <col min="2836" max="2836" width="20.28515625" style="98" bestFit="1" customWidth="1"/>
    <col min="2837" max="2837" width="15.42578125" style="98" customWidth="1"/>
    <col min="2838" max="2838" width="20.7109375" style="98" bestFit="1" customWidth="1"/>
    <col min="2839" max="2841" width="20.7109375" style="98" customWidth="1"/>
    <col min="2842" max="2842" width="20.7109375" style="98" bestFit="1" customWidth="1"/>
    <col min="2843" max="2843" width="12.140625" style="98" customWidth="1"/>
    <col min="2844" max="3072" width="8.7109375" style="98" customWidth="1"/>
    <col min="3073" max="3073" width="7.28515625" style="98" customWidth="1"/>
    <col min="3074" max="3074" width="18.28515625" style="98" customWidth="1"/>
    <col min="3075" max="3075" width="23.42578125" style="98" bestFit="1" customWidth="1"/>
    <col min="3076" max="3077" width="10.140625" style="98" bestFit="1" customWidth="1"/>
    <col min="3078" max="3080" width="10.140625" style="98" customWidth="1"/>
    <col min="3081" max="3081" width="16.28515625" style="98" customWidth="1"/>
    <col min="3082" max="3082" width="20.28515625" style="98" bestFit="1" customWidth="1"/>
    <col min="3083" max="3085" width="20.28515625" style="98" customWidth="1"/>
    <col min="3086" max="3086" width="20.28515625" style="98" bestFit="1" customWidth="1"/>
    <col min="3087" max="3087" width="15.42578125" style="98" customWidth="1"/>
    <col min="3088" max="3088" width="20.28515625" style="98" bestFit="1" customWidth="1"/>
    <col min="3089" max="3091" width="20.28515625" style="98" customWidth="1"/>
    <col min="3092" max="3092" width="20.28515625" style="98" bestFit="1" customWidth="1"/>
    <col min="3093" max="3093" width="15.42578125" style="98" customWidth="1"/>
    <col min="3094" max="3094" width="20.7109375" style="98" bestFit="1" customWidth="1"/>
    <col min="3095" max="3097" width="20.7109375" style="98" customWidth="1"/>
    <col min="3098" max="3098" width="20.7109375" style="98" bestFit="1" customWidth="1"/>
    <col min="3099" max="3099" width="12.140625" style="98" customWidth="1"/>
    <col min="3100" max="3328" width="8.7109375" style="98" customWidth="1"/>
    <col min="3329" max="3329" width="7.28515625" style="98" customWidth="1"/>
    <col min="3330" max="3330" width="18.28515625" style="98" customWidth="1"/>
    <col min="3331" max="3331" width="23.42578125" style="98" bestFit="1" customWidth="1"/>
    <col min="3332" max="3333" width="10.140625" style="98" bestFit="1" customWidth="1"/>
    <col min="3334" max="3336" width="10.140625" style="98" customWidth="1"/>
    <col min="3337" max="3337" width="16.28515625" style="98" customWidth="1"/>
    <col min="3338" max="3338" width="20.28515625" style="98" bestFit="1" customWidth="1"/>
    <col min="3339" max="3341" width="20.28515625" style="98" customWidth="1"/>
    <col min="3342" max="3342" width="20.28515625" style="98" bestFit="1" customWidth="1"/>
    <col min="3343" max="3343" width="15.42578125" style="98" customWidth="1"/>
    <col min="3344" max="3344" width="20.28515625" style="98" bestFit="1" customWidth="1"/>
    <col min="3345" max="3347" width="20.28515625" style="98" customWidth="1"/>
    <col min="3348" max="3348" width="20.28515625" style="98" bestFit="1" customWidth="1"/>
    <col min="3349" max="3349" width="15.42578125" style="98" customWidth="1"/>
    <col min="3350" max="3350" width="20.7109375" style="98" bestFit="1" customWidth="1"/>
    <col min="3351" max="3353" width="20.7109375" style="98" customWidth="1"/>
    <col min="3354" max="3354" width="20.7109375" style="98" bestFit="1" customWidth="1"/>
    <col min="3355" max="3355" width="12.140625" style="98" customWidth="1"/>
    <col min="3356" max="3584" width="8.7109375" style="98" customWidth="1"/>
    <col min="3585" max="3585" width="7.28515625" style="98" customWidth="1"/>
    <col min="3586" max="3586" width="18.28515625" style="98" customWidth="1"/>
    <col min="3587" max="3587" width="23.42578125" style="98" bestFit="1" customWidth="1"/>
    <col min="3588" max="3589" width="10.140625" style="98" bestFit="1" customWidth="1"/>
    <col min="3590" max="3592" width="10.140625" style="98" customWidth="1"/>
    <col min="3593" max="3593" width="16.28515625" style="98" customWidth="1"/>
    <col min="3594" max="3594" width="20.28515625" style="98" bestFit="1" customWidth="1"/>
    <col min="3595" max="3597" width="20.28515625" style="98" customWidth="1"/>
    <col min="3598" max="3598" width="20.28515625" style="98" bestFit="1" customWidth="1"/>
    <col min="3599" max="3599" width="15.42578125" style="98" customWidth="1"/>
    <col min="3600" max="3600" width="20.28515625" style="98" bestFit="1" customWidth="1"/>
    <col min="3601" max="3603" width="20.28515625" style="98" customWidth="1"/>
    <col min="3604" max="3604" width="20.28515625" style="98" bestFit="1" customWidth="1"/>
    <col min="3605" max="3605" width="15.42578125" style="98" customWidth="1"/>
    <col min="3606" max="3606" width="20.7109375" style="98" bestFit="1" customWidth="1"/>
    <col min="3607" max="3609" width="20.7109375" style="98" customWidth="1"/>
    <col min="3610" max="3610" width="20.7109375" style="98" bestFit="1" customWidth="1"/>
    <col min="3611" max="3611" width="12.140625" style="98" customWidth="1"/>
    <col min="3612" max="3840" width="8.7109375" style="98" customWidth="1"/>
    <col min="3841" max="3841" width="7.28515625" style="98" customWidth="1"/>
    <col min="3842" max="3842" width="18.28515625" style="98" customWidth="1"/>
    <col min="3843" max="3843" width="23.42578125" style="98" bestFit="1" customWidth="1"/>
    <col min="3844" max="3845" width="10.140625" style="98" bestFit="1" customWidth="1"/>
    <col min="3846" max="3848" width="10.140625" style="98" customWidth="1"/>
    <col min="3849" max="3849" width="16.28515625" style="98" customWidth="1"/>
    <col min="3850" max="3850" width="20.28515625" style="98" bestFit="1" customWidth="1"/>
    <col min="3851" max="3853" width="20.28515625" style="98" customWidth="1"/>
    <col min="3854" max="3854" width="20.28515625" style="98" bestFit="1" customWidth="1"/>
    <col min="3855" max="3855" width="15.42578125" style="98" customWidth="1"/>
    <col min="3856" max="3856" width="20.28515625" style="98" bestFit="1" customWidth="1"/>
    <col min="3857" max="3859" width="20.28515625" style="98" customWidth="1"/>
    <col min="3860" max="3860" width="20.28515625" style="98" bestFit="1" customWidth="1"/>
    <col min="3861" max="3861" width="15.42578125" style="98" customWidth="1"/>
    <col min="3862" max="3862" width="20.7109375" style="98" bestFit="1" customWidth="1"/>
    <col min="3863" max="3865" width="20.7109375" style="98" customWidth="1"/>
    <col min="3866" max="3866" width="20.7109375" style="98" bestFit="1" customWidth="1"/>
    <col min="3867" max="3867" width="12.140625" style="98" customWidth="1"/>
    <col min="3868" max="4096" width="8.7109375" style="98" customWidth="1"/>
    <col min="4097" max="4097" width="7.28515625" style="98" customWidth="1"/>
    <col min="4098" max="4098" width="18.28515625" style="98" customWidth="1"/>
    <col min="4099" max="4099" width="23.42578125" style="98" bestFit="1" customWidth="1"/>
    <col min="4100" max="4101" width="10.140625" style="98" bestFit="1" customWidth="1"/>
    <col min="4102" max="4104" width="10.140625" style="98" customWidth="1"/>
    <col min="4105" max="4105" width="16.28515625" style="98" customWidth="1"/>
    <col min="4106" max="4106" width="20.28515625" style="98" bestFit="1" customWidth="1"/>
    <col min="4107" max="4109" width="20.28515625" style="98" customWidth="1"/>
    <col min="4110" max="4110" width="20.28515625" style="98" bestFit="1" customWidth="1"/>
    <col min="4111" max="4111" width="15.42578125" style="98" customWidth="1"/>
    <col min="4112" max="4112" width="20.28515625" style="98" bestFit="1" customWidth="1"/>
    <col min="4113" max="4115" width="20.28515625" style="98" customWidth="1"/>
    <col min="4116" max="4116" width="20.28515625" style="98" bestFit="1" customWidth="1"/>
    <col min="4117" max="4117" width="15.42578125" style="98" customWidth="1"/>
    <col min="4118" max="4118" width="20.7109375" style="98" bestFit="1" customWidth="1"/>
    <col min="4119" max="4121" width="20.7109375" style="98" customWidth="1"/>
    <col min="4122" max="4122" width="20.7109375" style="98" bestFit="1" customWidth="1"/>
    <col min="4123" max="4123" width="12.140625" style="98" customWidth="1"/>
    <col min="4124" max="4352" width="8.7109375" style="98" customWidth="1"/>
    <col min="4353" max="4353" width="7.28515625" style="98" customWidth="1"/>
    <col min="4354" max="4354" width="18.28515625" style="98" customWidth="1"/>
    <col min="4355" max="4355" width="23.42578125" style="98" bestFit="1" customWidth="1"/>
    <col min="4356" max="4357" width="10.140625" style="98" bestFit="1" customWidth="1"/>
    <col min="4358" max="4360" width="10.140625" style="98" customWidth="1"/>
    <col min="4361" max="4361" width="16.28515625" style="98" customWidth="1"/>
    <col min="4362" max="4362" width="20.28515625" style="98" bestFit="1" customWidth="1"/>
    <col min="4363" max="4365" width="20.28515625" style="98" customWidth="1"/>
    <col min="4366" max="4366" width="20.28515625" style="98" bestFit="1" customWidth="1"/>
    <col min="4367" max="4367" width="15.42578125" style="98" customWidth="1"/>
    <col min="4368" max="4368" width="20.28515625" style="98" bestFit="1" customWidth="1"/>
    <col min="4369" max="4371" width="20.28515625" style="98" customWidth="1"/>
    <col min="4372" max="4372" width="20.28515625" style="98" bestFit="1" customWidth="1"/>
    <col min="4373" max="4373" width="15.42578125" style="98" customWidth="1"/>
    <col min="4374" max="4374" width="20.7109375" style="98" bestFit="1" customWidth="1"/>
    <col min="4375" max="4377" width="20.7109375" style="98" customWidth="1"/>
    <col min="4378" max="4378" width="20.7109375" style="98" bestFit="1" customWidth="1"/>
    <col min="4379" max="4379" width="12.140625" style="98" customWidth="1"/>
    <col min="4380" max="4608" width="8.7109375" style="98" customWidth="1"/>
    <col min="4609" max="4609" width="7.28515625" style="98" customWidth="1"/>
    <col min="4610" max="4610" width="18.28515625" style="98" customWidth="1"/>
    <col min="4611" max="4611" width="23.42578125" style="98" bestFit="1" customWidth="1"/>
    <col min="4612" max="4613" width="10.140625" style="98" bestFit="1" customWidth="1"/>
    <col min="4614" max="4616" width="10.140625" style="98" customWidth="1"/>
    <col min="4617" max="4617" width="16.28515625" style="98" customWidth="1"/>
    <col min="4618" max="4618" width="20.28515625" style="98" bestFit="1" customWidth="1"/>
    <col min="4619" max="4621" width="20.28515625" style="98" customWidth="1"/>
    <col min="4622" max="4622" width="20.28515625" style="98" bestFit="1" customWidth="1"/>
    <col min="4623" max="4623" width="15.42578125" style="98" customWidth="1"/>
    <col min="4624" max="4624" width="20.28515625" style="98" bestFit="1" customWidth="1"/>
    <col min="4625" max="4627" width="20.28515625" style="98" customWidth="1"/>
    <col min="4628" max="4628" width="20.28515625" style="98" bestFit="1" customWidth="1"/>
    <col min="4629" max="4629" width="15.42578125" style="98" customWidth="1"/>
    <col min="4630" max="4630" width="20.7109375" style="98" bestFit="1" customWidth="1"/>
    <col min="4631" max="4633" width="20.7109375" style="98" customWidth="1"/>
    <col min="4634" max="4634" width="20.7109375" style="98" bestFit="1" customWidth="1"/>
    <col min="4635" max="4635" width="12.140625" style="98" customWidth="1"/>
    <col min="4636" max="4864" width="8.7109375" style="98" customWidth="1"/>
    <col min="4865" max="4865" width="7.28515625" style="98" customWidth="1"/>
    <col min="4866" max="4866" width="18.28515625" style="98" customWidth="1"/>
    <col min="4867" max="4867" width="23.42578125" style="98" bestFit="1" customWidth="1"/>
    <col min="4868" max="4869" width="10.140625" style="98" bestFit="1" customWidth="1"/>
    <col min="4870" max="4872" width="10.140625" style="98" customWidth="1"/>
    <col min="4873" max="4873" width="16.28515625" style="98" customWidth="1"/>
    <col min="4874" max="4874" width="20.28515625" style="98" bestFit="1" customWidth="1"/>
    <col min="4875" max="4877" width="20.28515625" style="98" customWidth="1"/>
    <col min="4878" max="4878" width="20.28515625" style="98" bestFit="1" customWidth="1"/>
    <col min="4879" max="4879" width="15.42578125" style="98" customWidth="1"/>
    <col min="4880" max="4880" width="20.28515625" style="98" bestFit="1" customWidth="1"/>
    <col min="4881" max="4883" width="20.28515625" style="98" customWidth="1"/>
    <col min="4884" max="4884" width="20.28515625" style="98" bestFit="1" customWidth="1"/>
    <col min="4885" max="4885" width="15.42578125" style="98" customWidth="1"/>
    <col min="4886" max="4886" width="20.7109375" style="98" bestFit="1" customWidth="1"/>
    <col min="4887" max="4889" width="20.7109375" style="98" customWidth="1"/>
    <col min="4890" max="4890" width="20.7109375" style="98" bestFit="1" customWidth="1"/>
    <col min="4891" max="4891" width="12.140625" style="98" customWidth="1"/>
    <col min="4892" max="5120" width="8.7109375" style="98" customWidth="1"/>
    <col min="5121" max="5121" width="7.28515625" style="98" customWidth="1"/>
    <col min="5122" max="5122" width="18.28515625" style="98" customWidth="1"/>
    <col min="5123" max="5123" width="23.42578125" style="98" bestFit="1" customWidth="1"/>
    <col min="5124" max="5125" width="10.140625" style="98" bestFit="1" customWidth="1"/>
    <col min="5126" max="5128" width="10.140625" style="98" customWidth="1"/>
    <col min="5129" max="5129" width="16.28515625" style="98" customWidth="1"/>
    <col min="5130" max="5130" width="20.28515625" style="98" bestFit="1" customWidth="1"/>
    <col min="5131" max="5133" width="20.28515625" style="98" customWidth="1"/>
    <col min="5134" max="5134" width="20.28515625" style="98" bestFit="1" customWidth="1"/>
    <col min="5135" max="5135" width="15.42578125" style="98" customWidth="1"/>
    <col min="5136" max="5136" width="20.28515625" style="98" bestFit="1" customWidth="1"/>
    <col min="5137" max="5139" width="20.28515625" style="98" customWidth="1"/>
    <col min="5140" max="5140" width="20.28515625" style="98" bestFit="1" customWidth="1"/>
    <col min="5141" max="5141" width="15.42578125" style="98" customWidth="1"/>
    <col min="5142" max="5142" width="20.7109375" style="98" bestFit="1" customWidth="1"/>
    <col min="5143" max="5145" width="20.7109375" style="98" customWidth="1"/>
    <col min="5146" max="5146" width="20.7109375" style="98" bestFit="1" customWidth="1"/>
    <col min="5147" max="5147" width="12.140625" style="98" customWidth="1"/>
    <col min="5148" max="5376" width="8.7109375" style="98" customWidth="1"/>
    <col min="5377" max="5377" width="7.28515625" style="98" customWidth="1"/>
    <col min="5378" max="5378" width="18.28515625" style="98" customWidth="1"/>
    <col min="5379" max="5379" width="23.42578125" style="98" bestFit="1" customWidth="1"/>
    <col min="5380" max="5381" width="10.140625" style="98" bestFit="1" customWidth="1"/>
    <col min="5382" max="5384" width="10.140625" style="98" customWidth="1"/>
    <col min="5385" max="5385" width="16.28515625" style="98" customWidth="1"/>
    <col min="5386" max="5386" width="20.28515625" style="98" bestFit="1" customWidth="1"/>
    <col min="5387" max="5389" width="20.28515625" style="98" customWidth="1"/>
    <col min="5390" max="5390" width="20.28515625" style="98" bestFit="1" customWidth="1"/>
    <col min="5391" max="5391" width="15.42578125" style="98" customWidth="1"/>
    <col min="5392" max="5392" width="20.28515625" style="98" bestFit="1" customWidth="1"/>
    <col min="5393" max="5395" width="20.28515625" style="98" customWidth="1"/>
    <col min="5396" max="5396" width="20.28515625" style="98" bestFit="1" customWidth="1"/>
    <col min="5397" max="5397" width="15.42578125" style="98" customWidth="1"/>
    <col min="5398" max="5398" width="20.7109375" style="98" bestFit="1" customWidth="1"/>
    <col min="5399" max="5401" width="20.7109375" style="98" customWidth="1"/>
    <col min="5402" max="5402" width="20.7109375" style="98" bestFit="1" customWidth="1"/>
    <col min="5403" max="5403" width="12.140625" style="98" customWidth="1"/>
    <col min="5404" max="5632" width="8.7109375" style="98" customWidth="1"/>
    <col min="5633" max="5633" width="7.28515625" style="98" customWidth="1"/>
    <col min="5634" max="5634" width="18.28515625" style="98" customWidth="1"/>
    <col min="5635" max="5635" width="23.42578125" style="98" bestFit="1" customWidth="1"/>
    <col min="5636" max="5637" width="10.140625" style="98" bestFit="1" customWidth="1"/>
    <col min="5638" max="5640" width="10.140625" style="98" customWidth="1"/>
    <col min="5641" max="5641" width="16.28515625" style="98" customWidth="1"/>
    <col min="5642" max="5642" width="20.28515625" style="98" bestFit="1" customWidth="1"/>
    <col min="5643" max="5645" width="20.28515625" style="98" customWidth="1"/>
    <col min="5646" max="5646" width="20.28515625" style="98" bestFit="1" customWidth="1"/>
    <col min="5647" max="5647" width="15.42578125" style="98" customWidth="1"/>
    <col min="5648" max="5648" width="20.28515625" style="98" bestFit="1" customWidth="1"/>
    <col min="5649" max="5651" width="20.28515625" style="98" customWidth="1"/>
    <col min="5652" max="5652" width="20.28515625" style="98" bestFit="1" customWidth="1"/>
    <col min="5653" max="5653" width="15.42578125" style="98" customWidth="1"/>
    <col min="5654" max="5654" width="20.7109375" style="98" bestFit="1" customWidth="1"/>
    <col min="5655" max="5657" width="20.7109375" style="98" customWidth="1"/>
    <col min="5658" max="5658" width="20.7109375" style="98" bestFit="1" customWidth="1"/>
    <col min="5659" max="5659" width="12.140625" style="98" customWidth="1"/>
    <col min="5660" max="5888" width="8.7109375" style="98" customWidth="1"/>
    <col min="5889" max="5889" width="7.28515625" style="98" customWidth="1"/>
    <col min="5890" max="5890" width="18.28515625" style="98" customWidth="1"/>
    <col min="5891" max="5891" width="23.42578125" style="98" bestFit="1" customWidth="1"/>
    <col min="5892" max="5893" width="10.140625" style="98" bestFit="1" customWidth="1"/>
    <col min="5894" max="5896" width="10.140625" style="98" customWidth="1"/>
    <col min="5897" max="5897" width="16.28515625" style="98" customWidth="1"/>
    <col min="5898" max="5898" width="20.28515625" style="98" bestFit="1" customWidth="1"/>
    <col min="5899" max="5901" width="20.28515625" style="98" customWidth="1"/>
    <col min="5902" max="5902" width="20.28515625" style="98" bestFit="1" customWidth="1"/>
    <col min="5903" max="5903" width="15.42578125" style="98" customWidth="1"/>
    <col min="5904" max="5904" width="20.28515625" style="98" bestFit="1" customWidth="1"/>
    <col min="5905" max="5907" width="20.28515625" style="98" customWidth="1"/>
    <col min="5908" max="5908" width="20.28515625" style="98" bestFit="1" customWidth="1"/>
    <col min="5909" max="5909" width="15.42578125" style="98" customWidth="1"/>
    <col min="5910" max="5910" width="20.7109375" style="98" bestFit="1" customWidth="1"/>
    <col min="5911" max="5913" width="20.7109375" style="98" customWidth="1"/>
    <col min="5914" max="5914" width="20.7109375" style="98" bestFit="1" customWidth="1"/>
    <col min="5915" max="5915" width="12.140625" style="98" customWidth="1"/>
    <col min="5916" max="6144" width="8.7109375" style="98" customWidth="1"/>
    <col min="6145" max="6145" width="7.28515625" style="98" customWidth="1"/>
    <col min="6146" max="6146" width="18.28515625" style="98" customWidth="1"/>
    <col min="6147" max="6147" width="23.42578125" style="98" bestFit="1" customWidth="1"/>
    <col min="6148" max="6149" width="10.140625" style="98" bestFit="1" customWidth="1"/>
    <col min="6150" max="6152" width="10.140625" style="98" customWidth="1"/>
    <col min="6153" max="6153" width="16.28515625" style="98" customWidth="1"/>
    <col min="6154" max="6154" width="20.28515625" style="98" bestFit="1" customWidth="1"/>
    <col min="6155" max="6157" width="20.28515625" style="98" customWidth="1"/>
    <col min="6158" max="6158" width="20.28515625" style="98" bestFit="1" customWidth="1"/>
    <col min="6159" max="6159" width="15.42578125" style="98" customWidth="1"/>
    <col min="6160" max="6160" width="20.28515625" style="98" bestFit="1" customWidth="1"/>
    <col min="6161" max="6163" width="20.28515625" style="98" customWidth="1"/>
    <col min="6164" max="6164" width="20.28515625" style="98" bestFit="1" customWidth="1"/>
    <col min="6165" max="6165" width="15.42578125" style="98" customWidth="1"/>
    <col min="6166" max="6166" width="20.7109375" style="98" bestFit="1" customWidth="1"/>
    <col min="6167" max="6169" width="20.7109375" style="98" customWidth="1"/>
    <col min="6170" max="6170" width="20.7109375" style="98" bestFit="1" customWidth="1"/>
    <col min="6171" max="6171" width="12.140625" style="98" customWidth="1"/>
    <col min="6172" max="6400" width="8.7109375" style="98" customWidth="1"/>
    <col min="6401" max="6401" width="7.28515625" style="98" customWidth="1"/>
    <col min="6402" max="6402" width="18.28515625" style="98" customWidth="1"/>
    <col min="6403" max="6403" width="23.42578125" style="98" bestFit="1" customWidth="1"/>
    <col min="6404" max="6405" width="10.140625" style="98" bestFit="1" customWidth="1"/>
    <col min="6406" max="6408" width="10.140625" style="98" customWidth="1"/>
    <col min="6409" max="6409" width="16.28515625" style="98" customWidth="1"/>
    <col min="6410" max="6410" width="20.28515625" style="98" bestFit="1" customWidth="1"/>
    <col min="6411" max="6413" width="20.28515625" style="98" customWidth="1"/>
    <col min="6414" max="6414" width="20.28515625" style="98" bestFit="1" customWidth="1"/>
    <col min="6415" max="6415" width="15.42578125" style="98" customWidth="1"/>
    <col min="6416" max="6416" width="20.28515625" style="98" bestFit="1" customWidth="1"/>
    <col min="6417" max="6419" width="20.28515625" style="98" customWidth="1"/>
    <col min="6420" max="6420" width="20.28515625" style="98" bestFit="1" customWidth="1"/>
    <col min="6421" max="6421" width="15.42578125" style="98" customWidth="1"/>
    <col min="6422" max="6422" width="20.7109375" style="98" bestFit="1" customWidth="1"/>
    <col min="6423" max="6425" width="20.7109375" style="98" customWidth="1"/>
    <col min="6426" max="6426" width="20.7109375" style="98" bestFit="1" customWidth="1"/>
    <col min="6427" max="6427" width="12.140625" style="98" customWidth="1"/>
    <col min="6428" max="6656" width="8.7109375" style="98" customWidth="1"/>
    <col min="6657" max="6657" width="7.28515625" style="98" customWidth="1"/>
    <col min="6658" max="6658" width="18.28515625" style="98" customWidth="1"/>
    <col min="6659" max="6659" width="23.42578125" style="98" bestFit="1" customWidth="1"/>
    <col min="6660" max="6661" width="10.140625" style="98" bestFit="1" customWidth="1"/>
    <col min="6662" max="6664" width="10.140625" style="98" customWidth="1"/>
    <col min="6665" max="6665" width="16.28515625" style="98" customWidth="1"/>
    <col min="6666" max="6666" width="20.28515625" style="98" bestFit="1" customWidth="1"/>
    <col min="6667" max="6669" width="20.28515625" style="98" customWidth="1"/>
    <col min="6670" max="6670" width="20.28515625" style="98" bestFit="1" customWidth="1"/>
    <col min="6671" max="6671" width="15.42578125" style="98" customWidth="1"/>
    <col min="6672" max="6672" width="20.28515625" style="98" bestFit="1" customWidth="1"/>
    <col min="6673" max="6675" width="20.28515625" style="98" customWidth="1"/>
    <col min="6676" max="6676" width="20.28515625" style="98" bestFit="1" customWidth="1"/>
    <col min="6677" max="6677" width="15.42578125" style="98" customWidth="1"/>
    <col min="6678" max="6678" width="20.7109375" style="98" bestFit="1" customWidth="1"/>
    <col min="6679" max="6681" width="20.7109375" style="98" customWidth="1"/>
    <col min="6682" max="6682" width="20.7109375" style="98" bestFit="1" customWidth="1"/>
    <col min="6683" max="6683" width="12.140625" style="98" customWidth="1"/>
    <col min="6684" max="6912" width="8.7109375" style="98" customWidth="1"/>
    <col min="6913" max="6913" width="7.28515625" style="98" customWidth="1"/>
    <col min="6914" max="6914" width="18.28515625" style="98" customWidth="1"/>
    <col min="6915" max="6915" width="23.42578125" style="98" bestFit="1" customWidth="1"/>
    <col min="6916" max="6917" width="10.140625" style="98" bestFit="1" customWidth="1"/>
    <col min="6918" max="6920" width="10.140625" style="98" customWidth="1"/>
    <col min="6921" max="6921" width="16.28515625" style="98" customWidth="1"/>
    <col min="6922" max="6922" width="20.28515625" style="98" bestFit="1" customWidth="1"/>
    <col min="6923" max="6925" width="20.28515625" style="98" customWidth="1"/>
    <col min="6926" max="6926" width="20.28515625" style="98" bestFit="1" customWidth="1"/>
    <col min="6927" max="6927" width="15.42578125" style="98" customWidth="1"/>
    <col min="6928" max="6928" width="20.28515625" style="98" bestFit="1" customWidth="1"/>
    <col min="6929" max="6931" width="20.28515625" style="98" customWidth="1"/>
    <col min="6932" max="6932" width="20.28515625" style="98" bestFit="1" customWidth="1"/>
    <col min="6933" max="6933" width="15.42578125" style="98" customWidth="1"/>
    <col min="6934" max="6934" width="20.7109375" style="98" bestFit="1" customWidth="1"/>
    <col min="6935" max="6937" width="20.7109375" style="98" customWidth="1"/>
    <col min="6938" max="6938" width="20.7109375" style="98" bestFit="1" customWidth="1"/>
    <col min="6939" max="6939" width="12.140625" style="98" customWidth="1"/>
    <col min="6940" max="7168" width="8.7109375" style="98" customWidth="1"/>
    <col min="7169" max="7169" width="7.28515625" style="98" customWidth="1"/>
    <col min="7170" max="7170" width="18.28515625" style="98" customWidth="1"/>
    <col min="7171" max="7171" width="23.42578125" style="98" bestFit="1" customWidth="1"/>
    <col min="7172" max="7173" width="10.140625" style="98" bestFit="1" customWidth="1"/>
    <col min="7174" max="7176" width="10.140625" style="98" customWidth="1"/>
    <col min="7177" max="7177" width="16.28515625" style="98" customWidth="1"/>
    <col min="7178" max="7178" width="20.28515625" style="98" bestFit="1" customWidth="1"/>
    <col min="7179" max="7181" width="20.28515625" style="98" customWidth="1"/>
    <col min="7182" max="7182" width="20.28515625" style="98" bestFit="1" customWidth="1"/>
    <col min="7183" max="7183" width="15.42578125" style="98" customWidth="1"/>
    <col min="7184" max="7184" width="20.28515625" style="98" bestFit="1" customWidth="1"/>
    <col min="7185" max="7187" width="20.28515625" style="98" customWidth="1"/>
    <col min="7188" max="7188" width="20.28515625" style="98" bestFit="1" customWidth="1"/>
    <col min="7189" max="7189" width="15.42578125" style="98" customWidth="1"/>
    <col min="7190" max="7190" width="20.7109375" style="98" bestFit="1" customWidth="1"/>
    <col min="7191" max="7193" width="20.7109375" style="98" customWidth="1"/>
    <col min="7194" max="7194" width="20.7109375" style="98" bestFit="1" customWidth="1"/>
    <col min="7195" max="7195" width="12.140625" style="98" customWidth="1"/>
    <col min="7196" max="7424" width="8.7109375" style="98" customWidth="1"/>
    <col min="7425" max="7425" width="7.28515625" style="98" customWidth="1"/>
    <col min="7426" max="7426" width="18.28515625" style="98" customWidth="1"/>
    <col min="7427" max="7427" width="23.42578125" style="98" bestFit="1" customWidth="1"/>
    <col min="7428" max="7429" width="10.140625" style="98" bestFit="1" customWidth="1"/>
    <col min="7430" max="7432" width="10.140625" style="98" customWidth="1"/>
    <col min="7433" max="7433" width="16.28515625" style="98" customWidth="1"/>
    <col min="7434" max="7434" width="20.28515625" style="98" bestFit="1" customWidth="1"/>
    <col min="7435" max="7437" width="20.28515625" style="98" customWidth="1"/>
    <col min="7438" max="7438" width="20.28515625" style="98" bestFit="1" customWidth="1"/>
    <col min="7439" max="7439" width="15.42578125" style="98" customWidth="1"/>
    <col min="7440" max="7440" width="20.28515625" style="98" bestFit="1" customWidth="1"/>
    <col min="7441" max="7443" width="20.28515625" style="98" customWidth="1"/>
    <col min="7444" max="7444" width="20.28515625" style="98" bestFit="1" customWidth="1"/>
    <col min="7445" max="7445" width="15.42578125" style="98" customWidth="1"/>
    <col min="7446" max="7446" width="20.7109375" style="98" bestFit="1" customWidth="1"/>
    <col min="7447" max="7449" width="20.7109375" style="98" customWidth="1"/>
    <col min="7450" max="7450" width="20.7109375" style="98" bestFit="1" customWidth="1"/>
    <col min="7451" max="7451" width="12.140625" style="98" customWidth="1"/>
    <col min="7452" max="7680" width="8.7109375" style="98" customWidth="1"/>
    <col min="7681" max="7681" width="7.28515625" style="98" customWidth="1"/>
    <col min="7682" max="7682" width="18.28515625" style="98" customWidth="1"/>
    <col min="7683" max="7683" width="23.42578125" style="98" bestFit="1" customWidth="1"/>
    <col min="7684" max="7685" width="10.140625" style="98" bestFit="1" customWidth="1"/>
    <col min="7686" max="7688" width="10.140625" style="98" customWidth="1"/>
    <col min="7689" max="7689" width="16.28515625" style="98" customWidth="1"/>
    <col min="7690" max="7690" width="20.28515625" style="98" bestFit="1" customWidth="1"/>
    <col min="7691" max="7693" width="20.28515625" style="98" customWidth="1"/>
    <col min="7694" max="7694" width="20.28515625" style="98" bestFit="1" customWidth="1"/>
    <col min="7695" max="7695" width="15.42578125" style="98" customWidth="1"/>
    <col min="7696" max="7696" width="20.28515625" style="98" bestFit="1" customWidth="1"/>
    <col min="7697" max="7699" width="20.28515625" style="98" customWidth="1"/>
    <col min="7700" max="7700" width="20.28515625" style="98" bestFit="1" customWidth="1"/>
    <col min="7701" max="7701" width="15.42578125" style="98" customWidth="1"/>
    <col min="7702" max="7702" width="20.7109375" style="98" bestFit="1" customWidth="1"/>
    <col min="7703" max="7705" width="20.7109375" style="98" customWidth="1"/>
    <col min="7706" max="7706" width="20.7109375" style="98" bestFit="1" customWidth="1"/>
    <col min="7707" max="7707" width="12.140625" style="98" customWidth="1"/>
    <col min="7708" max="7936" width="8.7109375" style="98" customWidth="1"/>
    <col min="7937" max="7937" width="7.28515625" style="98" customWidth="1"/>
    <col min="7938" max="7938" width="18.28515625" style="98" customWidth="1"/>
    <col min="7939" max="7939" width="23.42578125" style="98" bestFit="1" customWidth="1"/>
    <col min="7940" max="7941" width="10.140625" style="98" bestFit="1" customWidth="1"/>
    <col min="7942" max="7944" width="10.140625" style="98" customWidth="1"/>
    <col min="7945" max="7945" width="16.28515625" style="98" customWidth="1"/>
    <col min="7946" max="7946" width="20.28515625" style="98" bestFit="1" customWidth="1"/>
    <col min="7947" max="7949" width="20.28515625" style="98" customWidth="1"/>
    <col min="7950" max="7950" width="20.28515625" style="98" bestFit="1" customWidth="1"/>
    <col min="7951" max="7951" width="15.42578125" style="98" customWidth="1"/>
    <col min="7952" max="7952" width="20.28515625" style="98" bestFit="1" customWidth="1"/>
    <col min="7953" max="7955" width="20.28515625" style="98" customWidth="1"/>
    <col min="7956" max="7956" width="20.28515625" style="98" bestFit="1" customWidth="1"/>
    <col min="7957" max="7957" width="15.42578125" style="98" customWidth="1"/>
    <col min="7958" max="7958" width="20.7109375" style="98" bestFit="1" customWidth="1"/>
    <col min="7959" max="7961" width="20.7109375" style="98" customWidth="1"/>
    <col min="7962" max="7962" width="20.7109375" style="98" bestFit="1" customWidth="1"/>
    <col min="7963" max="7963" width="12.140625" style="98" customWidth="1"/>
    <col min="7964" max="8192" width="8.7109375" style="98" customWidth="1"/>
    <col min="8193" max="8193" width="7.28515625" style="98" customWidth="1"/>
    <col min="8194" max="8194" width="18.28515625" style="98" customWidth="1"/>
    <col min="8195" max="8195" width="23.42578125" style="98" bestFit="1" customWidth="1"/>
    <col min="8196" max="8197" width="10.140625" style="98" bestFit="1" customWidth="1"/>
    <col min="8198" max="8200" width="10.140625" style="98" customWidth="1"/>
    <col min="8201" max="8201" width="16.28515625" style="98" customWidth="1"/>
    <col min="8202" max="8202" width="20.28515625" style="98" bestFit="1" customWidth="1"/>
    <col min="8203" max="8205" width="20.28515625" style="98" customWidth="1"/>
    <col min="8206" max="8206" width="20.28515625" style="98" bestFit="1" customWidth="1"/>
    <col min="8207" max="8207" width="15.42578125" style="98" customWidth="1"/>
    <col min="8208" max="8208" width="20.28515625" style="98" bestFit="1" customWidth="1"/>
    <col min="8209" max="8211" width="20.28515625" style="98" customWidth="1"/>
    <col min="8212" max="8212" width="20.28515625" style="98" bestFit="1" customWidth="1"/>
    <col min="8213" max="8213" width="15.42578125" style="98" customWidth="1"/>
    <col min="8214" max="8214" width="20.7109375" style="98" bestFit="1" customWidth="1"/>
    <col min="8215" max="8217" width="20.7109375" style="98" customWidth="1"/>
    <col min="8218" max="8218" width="20.7109375" style="98" bestFit="1" customWidth="1"/>
    <col min="8219" max="8219" width="12.140625" style="98" customWidth="1"/>
    <col min="8220" max="8448" width="8.7109375" style="98" customWidth="1"/>
    <col min="8449" max="8449" width="7.28515625" style="98" customWidth="1"/>
    <col min="8450" max="8450" width="18.28515625" style="98" customWidth="1"/>
    <col min="8451" max="8451" width="23.42578125" style="98" bestFit="1" customWidth="1"/>
    <col min="8452" max="8453" width="10.140625" style="98" bestFit="1" customWidth="1"/>
    <col min="8454" max="8456" width="10.140625" style="98" customWidth="1"/>
    <col min="8457" max="8457" width="16.28515625" style="98" customWidth="1"/>
    <col min="8458" max="8458" width="20.28515625" style="98" bestFit="1" customWidth="1"/>
    <col min="8459" max="8461" width="20.28515625" style="98" customWidth="1"/>
    <col min="8462" max="8462" width="20.28515625" style="98" bestFit="1" customWidth="1"/>
    <col min="8463" max="8463" width="15.42578125" style="98" customWidth="1"/>
    <col min="8464" max="8464" width="20.28515625" style="98" bestFit="1" customWidth="1"/>
    <col min="8465" max="8467" width="20.28515625" style="98" customWidth="1"/>
    <col min="8468" max="8468" width="20.28515625" style="98" bestFit="1" customWidth="1"/>
    <col min="8469" max="8469" width="15.42578125" style="98" customWidth="1"/>
    <col min="8470" max="8470" width="20.7109375" style="98" bestFit="1" customWidth="1"/>
    <col min="8471" max="8473" width="20.7109375" style="98" customWidth="1"/>
    <col min="8474" max="8474" width="20.7109375" style="98" bestFit="1" customWidth="1"/>
    <col min="8475" max="8475" width="12.140625" style="98" customWidth="1"/>
    <col min="8476" max="8704" width="8.7109375" style="98" customWidth="1"/>
    <col min="8705" max="8705" width="7.28515625" style="98" customWidth="1"/>
    <col min="8706" max="8706" width="18.28515625" style="98" customWidth="1"/>
    <col min="8707" max="8707" width="23.42578125" style="98" bestFit="1" customWidth="1"/>
    <col min="8708" max="8709" width="10.140625" style="98" bestFit="1" customWidth="1"/>
    <col min="8710" max="8712" width="10.140625" style="98" customWidth="1"/>
    <col min="8713" max="8713" width="16.28515625" style="98" customWidth="1"/>
    <col min="8714" max="8714" width="20.28515625" style="98" bestFit="1" customWidth="1"/>
    <col min="8715" max="8717" width="20.28515625" style="98" customWidth="1"/>
    <col min="8718" max="8718" width="20.28515625" style="98" bestFit="1" customWidth="1"/>
    <col min="8719" max="8719" width="15.42578125" style="98" customWidth="1"/>
    <col min="8720" max="8720" width="20.28515625" style="98" bestFit="1" customWidth="1"/>
    <col min="8721" max="8723" width="20.28515625" style="98" customWidth="1"/>
    <col min="8724" max="8724" width="20.28515625" style="98" bestFit="1" customWidth="1"/>
    <col min="8725" max="8725" width="15.42578125" style="98" customWidth="1"/>
    <col min="8726" max="8726" width="20.7109375" style="98" bestFit="1" customWidth="1"/>
    <col min="8727" max="8729" width="20.7109375" style="98" customWidth="1"/>
    <col min="8730" max="8730" width="20.7109375" style="98" bestFit="1" customWidth="1"/>
    <col min="8731" max="8731" width="12.140625" style="98" customWidth="1"/>
    <col min="8732" max="8960" width="8.7109375" style="98" customWidth="1"/>
    <col min="8961" max="8961" width="7.28515625" style="98" customWidth="1"/>
    <col min="8962" max="8962" width="18.28515625" style="98" customWidth="1"/>
    <col min="8963" max="8963" width="23.42578125" style="98" bestFit="1" customWidth="1"/>
    <col min="8964" max="8965" width="10.140625" style="98" bestFit="1" customWidth="1"/>
    <col min="8966" max="8968" width="10.140625" style="98" customWidth="1"/>
    <col min="8969" max="8969" width="16.28515625" style="98" customWidth="1"/>
    <col min="8970" max="8970" width="20.28515625" style="98" bestFit="1" customWidth="1"/>
    <col min="8971" max="8973" width="20.28515625" style="98" customWidth="1"/>
    <col min="8974" max="8974" width="20.28515625" style="98" bestFit="1" customWidth="1"/>
    <col min="8975" max="8975" width="15.42578125" style="98" customWidth="1"/>
    <col min="8976" max="8976" width="20.28515625" style="98" bestFit="1" customWidth="1"/>
    <col min="8977" max="8979" width="20.28515625" style="98" customWidth="1"/>
    <col min="8980" max="8980" width="20.28515625" style="98" bestFit="1" customWidth="1"/>
    <col min="8981" max="8981" width="15.42578125" style="98" customWidth="1"/>
    <col min="8982" max="8982" width="20.7109375" style="98" bestFit="1" customWidth="1"/>
    <col min="8983" max="8985" width="20.7109375" style="98" customWidth="1"/>
    <col min="8986" max="8986" width="20.7109375" style="98" bestFit="1" customWidth="1"/>
    <col min="8987" max="8987" width="12.140625" style="98" customWidth="1"/>
    <col min="8988" max="9216" width="8.7109375" style="98" customWidth="1"/>
    <col min="9217" max="9217" width="7.28515625" style="98" customWidth="1"/>
    <col min="9218" max="9218" width="18.28515625" style="98" customWidth="1"/>
    <col min="9219" max="9219" width="23.42578125" style="98" bestFit="1" customWidth="1"/>
    <col min="9220" max="9221" width="10.140625" style="98" bestFit="1" customWidth="1"/>
    <col min="9222" max="9224" width="10.140625" style="98" customWidth="1"/>
    <col min="9225" max="9225" width="16.28515625" style="98" customWidth="1"/>
    <col min="9226" max="9226" width="20.28515625" style="98" bestFit="1" customWidth="1"/>
    <col min="9227" max="9229" width="20.28515625" style="98" customWidth="1"/>
    <col min="9230" max="9230" width="20.28515625" style="98" bestFit="1" customWidth="1"/>
    <col min="9231" max="9231" width="15.42578125" style="98" customWidth="1"/>
    <col min="9232" max="9232" width="20.28515625" style="98" bestFit="1" customWidth="1"/>
    <col min="9233" max="9235" width="20.28515625" style="98" customWidth="1"/>
    <col min="9236" max="9236" width="20.28515625" style="98" bestFit="1" customWidth="1"/>
    <col min="9237" max="9237" width="15.42578125" style="98" customWidth="1"/>
    <col min="9238" max="9238" width="20.7109375" style="98" bestFit="1" customWidth="1"/>
    <col min="9239" max="9241" width="20.7109375" style="98" customWidth="1"/>
    <col min="9242" max="9242" width="20.7109375" style="98" bestFit="1" customWidth="1"/>
    <col min="9243" max="9243" width="12.140625" style="98" customWidth="1"/>
    <col min="9244" max="9472" width="8.7109375" style="98" customWidth="1"/>
    <col min="9473" max="9473" width="7.28515625" style="98" customWidth="1"/>
    <col min="9474" max="9474" width="18.28515625" style="98" customWidth="1"/>
    <col min="9475" max="9475" width="23.42578125" style="98" bestFit="1" customWidth="1"/>
    <col min="9476" max="9477" width="10.140625" style="98" bestFit="1" customWidth="1"/>
    <col min="9478" max="9480" width="10.140625" style="98" customWidth="1"/>
    <col min="9481" max="9481" width="16.28515625" style="98" customWidth="1"/>
    <col min="9482" max="9482" width="20.28515625" style="98" bestFit="1" customWidth="1"/>
    <col min="9483" max="9485" width="20.28515625" style="98" customWidth="1"/>
    <col min="9486" max="9486" width="20.28515625" style="98" bestFit="1" customWidth="1"/>
    <col min="9487" max="9487" width="15.42578125" style="98" customWidth="1"/>
    <col min="9488" max="9488" width="20.28515625" style="98" bestFit="1" customWidth="1"/>
    <col min="9489" max="9491" width="20.28515625" style="98" customWidth="1"/>
    <col min="9492" max="9492" width="20.28515625" style="98" bestFit="1" customWidth="1"/>
    <col min="9493" max="9493" width="15.42578125" style="98" customWidth="1"/>
    <col min="9494" max="9494" width="20.7109375" style="98" bestFit="1" customWidth="1"/>
    <col min="9495" max="9497" width="20.7109375" style="98" customWidth="1"/>
    <col min="9498" max="9498" width="20.7109375" style="98" bestFit="1" customWidth="1"/>
    <col min="9499" max="9499" width="12.140625" style="98" customWidth="1"/>
    <col min="9500" max="9728" width="8.7109375" style="98" customWidth="1"/>
    <col min="9729" max="9729" width="7.28515625" style="98" customWidth="1"/>
    <col min="9730" max="9730" width="18.28515625" style="98" customWidth="1"/>
    <col min="9731" max="9731" width="23.42578125" style="98" bestFit="1" customWidth="1"/>
    <col min="9732" max="9733" width="10.140625" style="98" bestFit="1" customWidth="1"/>
    <col min="9734" max="9736" width="10.140625" style="98" customWidth="1"/>
    <col min="9737" max="9737" width="16.28515625" style="98" customWidth="1"/>
    <col min="9738" max="9738" width="20.28515625" style="98" bestFit="1" customWidth="1"/>
    <col min="9739" max="9741" width="20.28515625" style="98" customWidth="1"/>
    <col min="9742" max="9742" width="20.28515625" style="98" bestFit="1" customWidth="1"/>
    <col min="9743" max="9743" width="15.42578125" style="98" customWidth="1"/>
    <col min="9744" max="9744" width="20.28515625" style="98" bestFit="1" customWidth="1"/>
    <col min="9745" max="9747" width="20.28515625" style="98" customWidth="1"/>
    <col min="9748" max="9748" width="20.28515625" style="98" bestFit="1" customWidth="1"/>
    <col min="9749" max="9749" width="15.42578125" style="98" customWidth="1"/>
    <col min="9750" max="9750" width="20.7109375" style="98" bestFit="1" customWidth="1"/>
    <col min="9751" max="9753" width="20.7109375" style="98" customWidth="1"/>
    <col min="9754" max="9754" width="20.7109375" style="98" bestFit="1" customWidth="1"/>
    <col min="9755" max="9755" width="12.140625" style="98" customWidth="1"/>
    <col min="9756" max="9984" width="8.7109375" style="98" customWidth="1"/>
    <col min="9985" max="9985" width="7.28515625" style="98" customWidth="1"/>
    <col min="9986" max="9986" width="18.28515625" style="98" customWidth="1"/>
    <col min="9987" max="9987" width="23.42578125" style="98" bestFit="1" customWidth="1"/>
    <col min="9988" max="9989" width="10.140625" style="98" bestFit="1" customWidth="1"/>
    <col min="9990" max="9992" width="10.140625" style="98" customWidth="1"/>
    <col min="9993" max="9993" width="16.28515625" style="98" customWidth="1"/>
    <col min="9994" max="9994" width="20.28515625" style="98" bestFit="1" customWidth="1"/>
    <col min="9995" max="9997" width="20.28515625" style="98" customWidth="1"/>
    <col min="9998" max="9998" width="20.28515625" style="98" bestFit="1" customWidth="1"/>
    <col min="9999" max="9999" width="15.42578125" style="98" customWidth="1"/>
    <col min="10000" max="10000" width="20.28515625" style="98" bestFit="1" customWidth="1"/>
    <col min="10001" max="10003" width="20.28515625" style="98" customWidth="1"/>
    <col min="10004" max="10004" width="20.28515625" style="98" bestFit="1" customWidth="1"/>
    <col min="10005" max="10005" width="15.42578125" style="98" customWidth="1"/>
    <col min="10006" max="10006" width="20.7109375" style="98" bestFit="1" customWidth="1"/>
    <col min="10007" max="10009" width="20.7109375" style="98" customWidth="1"/>
    <col min="10010" max="10010" width="20.7109375" style="98" bestFit="1" customWidth="1"/>
    <col min="10011" max="10011" width="12.140625" style="98" customWidth="1"/>
    <col min="10012" max="10240" width="8.7109375" style="98" customWidth="1"/>
    <col min="10241" max="10241" width="7.28515625" style="98" customWidth="1"/>
    <col min="10242" max="10242" width="18.28515625" style="98" customWidth="1"/>
    <col min="10243" max="10243" width="23.42578125" style="98" bestFit="1" customWidth="1"/>
    <col min="10244" max="10245" width="10.140625" style="98" bestFit="1" customWidth="1"/>
    <col min="10246" max="10248" width="10.140625" style="98" customWidth="1"/>
    <col min="10249" max="10249" width="16.28515625" style="98" customWidth="1"/>
    <col min="10250" max="10250" width="20.28515625" style="98" bestFit="1" customWidth="1"/>
    <col min="10251" max="10253" width="20.28515625" style="98" customWidth="1"/>
    <col min="10254" max="10254" width="20.28515625" style="98" bestFit="1" customWidth="1"/>
    <col min="10255" max="10255" width="15.42578125" style="98" customWidth="1"/>
    <col min="10256" max="10256" width="20.28515625" style="98" bestFit="1" customWidth="1"/>
    <col min="10257" max="10259" width="20.28515625" style="98" customWidth="1"/>
    <col min="10260" max="10260" width="20.28515625" style="98" bestFit="1" customWidth="1"/>
    <col min="10261" max="10261" width="15.42578125" style="98" customWidth="1"/>
    <col min="10262" max="10262" width="20.7109375" style="98" bestFit="1" customWidth="1"/>
    <col min="10263" max="10265" width="20.7109375" style="98" customWidth="1"/>
    <col min="10266" max="10266" width="20.7109375" style="98" bestFit="1" customWidth="1"/>
    <col min="10267" max="10267" width="12.140625" style="98" customWidth="1"/>
    <col min="10268" max="10496" width="8.7109375" style="98" customWidth="1"/>
    <col min="10497" max="10497" width="7.28515625" style="98" customWidth="1"/>
    <col min="10498" max="10498" width="18.28515625" style="98" customWidth="1"/>
    <col min="10499" max="10499" width="23.42578125" style="98" bestFit="1" customWidth="1"/>
    <col min="10500" max="10501" width="10.140625" style="98" bestFit="1" customWidth="1"/>
    <col min="10502" max="10504" width="10.140625" style="98" customWidth="1"/>
    <col min="10505" max="10505" width="16.28515625" style="98" customWidth="1"/>
    <col min="10506" max="10506" width="20.28515625" style="98" bestFit="1" customWidth="1"/>
    <col min="10507" max="10509" width="20.28515625" style="98" customWidth="1"/>
    <col min="10510" max="10510" width="20.28515625" style="98" bestFit="1" customWidth="1"/>
    <col min="10511" max="10511" width="15.42578125" style="98" customWidth="1"/>
    <col min="10512" max="10512" width="20.28515625" style="98" bestFit="1" customWidth="1"/>
    <col min="10513" max="10515" width="20.28515625" style="98" customWidth="1"/>
    <col min="10516" max="10516" width="20.28515625" style="98" bestFit="1" customWidth="1"/>
    <col min="10517" max="10517" width="15.42578125" style="98" customWidth="1"/>
    <col min="10518" max="10518" width="20.7109375" style="98" bestFit="1" customWidth="1"/>
    <col min="10519" max="10521" width="20.7109375" style="98" customWidth="1"/>
    <col min="10522" max="10522" width="20.7109375" style="98" bestFit="1" customWidth="1"/>
    <col min="10523" max="10523" width="12.140625" style="98" customWidth="1"/>
    <col min="10524" max="10752" width="8.7109375" style="98" customWidth="1"/>
    <col min="10753" max="10753" width="7.28515625" style="98" customWidth="1"/>
    <col min="10754" max="10754" width="18.28515625" style="98" customWidth="1"/>
    <col min="10755" max="10755" width="23.42578125" style="98" bestFit="1" customWidth="1"/>
    <col min="10756" max="10757" width="10.140625" style="98" bestFit="1" customWidth="1"/>
    <col min="10758" max="10760" width="10.140625" style="98" customWidth="1"/>
    <col min="10761" max="10761" width="16.28515625" style="98" customWidth="1"/>
    <col min="10762" max="10762" width="20.28515625" style="98" bestFit="1" customWidth="1"/>
    <col min="10763" max="10765" width="20.28515625" style="98" customWidth="1"/>
    <col min="10766" max="10766" width="20.28515625" style="98" bestFit="1" customWidth="1"/>
    <col min="10767" max="10767" width="15.42578125" style="98" customWidth="1"/>
    <col min="10768" max="10768" width="20.28515625" style="98" bestFit="1" customWidth="1"/>
    <col min="10769" max="10771" width="20.28515625" style="98" customWidth="1"/>
    <col min="10772" max="10772" width="20.28515625" style="98" bestFit="1" customWidth="1"/>
    <col min="10773" max="10773" width="15.42578125" style="98" customWidth="1"/>
    <col min="10774" max="10774" width="20.7109375" style="98" bestFit="1" customWidth="1"/>
    <col min="10775" max="10777" width="20.7109375" style="98" customWidth="1"/>
    <col min="10778" max="10778" width="20.7109375" style="98" bestFit="1" customWidth="1"/>
    <col min="10779" max="10779" width="12.140625" style="98" customWidth="1"/>
    <col min="10780" max="11008" width="8.7109375" style="98" customWidth="1"/>
    <col min="11009" max="11009" width="7.28515625" style="98" customWidth="1"/>
    <col min="11010" max="11010" width="18.28515625" style="98" customWidth="1"/>
    <col min="11011" max="11011" width="23.42578125" style="98" bestFit="1" customWidth="1"/>
    <col min="11012" max="11013" width="10.140625" style="98" bestFit="1" customWidth="1"/>
    <col min="11014" max="11016" width="10.140625" style="98" customWidth="1"/>
    <col min="11017" max="11017" width="16.28515625" style="98" customWidth="1"/>
    <col min="11018" max="11018" width="20.28515625" style="98" bestFit="1" customWidth="1"/>
    <col min="11019" max="11021" width="20.28515625" style="98" customWidth="1"/>
    <col min="11022" max="11022" width="20.28515625" style="98" bestFit="1" customWidth="1"/>
    <col min="11023" max="11023" width="15.42578125" style="98" customWidth="1"/>
    <col min="11024" max="11024" width="20.28515625" style="98" bestFit="1" customWidth="1"/>
    <col min="11025" max="11027" width="20.28515625" style="98" customWidth="1"/>
    <col min="11028" max="11028" width="20.28515625" style="98" bestFit="1" customWidth="1"/>
    <col min="11029" max="11029" width="15.42578125" style="98" customWidth="1"/>
    <col min="11030" max="11030" width="20.7109375" style="98" bestFit="1" customWidth="1"/>
    <col min="11031" max="11033" width="20.7109375" style="98" customWidth="1"/>
    <col min="11034" max="11034" width="20.7109375" style="98" bestFit="1" customWidth="1"/>
    <col min="11035" max="11035" width="12.140625" style="98" customWidth="1"/>
    <col min="11036" max="11264" width="8.7109375" style="98" customWidth="1"/>
    <col min="11265" max="11265" width="7.28515625" style="98" customWidth="1"/>
    <col min="11266" max="11266" width="18.28515625" style="98" customWidth="1"/>
    <col min="11267" max="11267" width="23.42578125" style="98" bestFit="1" customWidth="1"/>
    <col min="11268" max="11269" width="10.140625" style="98" bestFit="1" customWidth="1"/>
    <col min="11270" max="11272" width="10.140625" style="98" customWidth="1"/>
    <col min="11273" max="11273" width="16.28515625" style="98" customWidth="1"/>
    <col min="11274" max="11274" width="20.28515625" style="98" bestFit="1" customWidth="1"/>
    <col min="11275" max="11277" width="20.28515625" style="98" customWidth="1"/>
    <col min="11278" max="11278" width="20.28515625" style="98" bestFit="1" customWidth="1"/>
    <col min="11279" max="11279" width="15.42578125" style="98" customWidth="1"/>
    <col min="11280" max="11280" width="20.28515625" style="98" bestFit="1" customWidth="1"/>
    <col min="11281" max="11283" width="20.28515625" style="98" customWidth="1"/>
    <col min="11284" max="11284" width="20.28515625" style="98" bestFit="1" customWidth="1"/>
    <col min="11285" max="11285" width="15.42578125" style="98" customWidth="1"/>
    <col min="11286" max="11286" width="20.7109375" style="98" bestFit="1" customWidth="1"/>
    <col min="11287" max="11289" width="20.7109375" style="98" customWidth="1"/>
    <col min="11290" max="11290" width="20.7109375" style="98" bestFit="1" customWidth="1"/>
    <col min="11291" max="11291" width="12.140625" style="98" customWidth="1"/>
    <col min="11292" max="11520" width="8.7109375" style="98" customWidth="1"/>
    <col min="11521" max="11521" width="7.28515625" style="98" customWidth="1"/>
    <col min="11522" max="11522" width="18.28515625" style="98" customWidth="1"/>
    <col min="11523" max="11523" width="23.42578125" style="98" bestFit="1" customWidth="1"/>
    <col min="11524" max="11525" width="10.140625" style="98" bestFit="1" customWidth="1"/>
    <col min="11526" max="11528" width="10.140625" style="98" customWidth="1"/>
    <col min="11529" max="11529" width="16.28515625" style="98" customWidth="1"/>
    <col min="11530" max="11530" width="20.28515625" style="98" bestFit="1" customWidth="1"/>
    <col min="11531" max="11533" width="20.28515625" style="98" customWidth="1"/>
    <col min="11534" max="11534" width="20.28515625" style="98" bestFit="1" customWidth="1"/>
    <col min="11535" max="11535" width="15.42578125" style="98" customWidth="1"/>
    <col min="11536" max="11536" width="20.28515625" style="98" bestFit="1" customWidth="1"/>
    <col min="11537" max="11539" width="20.28515625" style="98" customWidth="1"/>
    <col min="11540" max="11540" width="20.28515625" style="98" bestFit="1" customWidth="1"/>
    <col min="11541" max="11541" width="15.42578125" style="98" customWidth="1"/>
    <col min="11542" max="11542" width="20.7109375" style="98" bestFit="1" customWidth="1"/>
    <col min="11543" max="11545" width="20.7109375" style="98" customWidth="1"/>
    <col min="11546" max="11546" width="20.7109375" style="98" bestFit="1" customWidth="1"/>
    <col min="11547" max="11547" width="12.140625" style="98" customWidth="1"/>
    <col min="11548" max="11776" width="8.7109375" style="98" customWidth="1"/>
    <col min="11777" max="11777" width="7.28515625" style="98" customWidth="1"/>
    <col min="11778" max="11778" width="18.28515625" style="98" customWidth="1"/>
    <col min="11779" max="11779" width="23.42578125" style="98" bestFit="1" customWidth="1"/>
    <col min="11780" max="11781" width="10.140625" style="98" bestFit="1" customWidth="1"/>
    <col min="11782" max="11784" width="10.140625" style="98" customWidth="1"/>
    <col min="11785" max="11785" width="16.28515625" style="98" customWidth="1"/>
    <col min="11786" max="11786" width="20.28515625" style="98" bestFit="1" customWidth="1"/>
    <col min="11787" max="11789" width="20.28515625" style="98" customWidth="1"/>
    <col min="11790" max="11790" width="20.28515625" style="98" bestFit="1" customWidth="1"/>
    <col min="11791" max="11791" width="15.42578125" style="98" customWidth="1"/>
    <col min="11792" max="11792" width="20.28515625" style="98" bestFit="1" customWidth="1"/>
    <col min="11793" max="11795" width="20.28515625" style="98" customWidth="1"/>
    <col min="11796" max="11796" width="20.28515625" style="98" bestFit="1" customWidth="1"/>
    <col min="11797" max="11797" width="15.42578125" style="98" customWidth="1"/>
    <col min="11798" max="11798" width="20.7109375" style="98" bestFit="1" customWidth="1"/>
    <col min="11799" max="11801" width="20.7109375" style="98" customWidth="1"/>
    <col min="11802" max="11802" width="20.7109375" style="98" bestFit="1" customWidth="1"/>
    <col min="11803" max="11803" width="12.140625" style="98" customWidth="1"/>
    <col min="11804" max="12032" width="8.7109375" style="98" customWidth="1"/>
    <col min="12033" max="12033" width="7.28515625" style="98" customWidth="1"/>
    <col min="12034" max="12034" width="18.28515625" style="98" customWidth="1"/>
    <col min="12035" max="12035" width="23.42578125" style="98" bestFit="1" customWidth="1"/>
    <col min="12036" max="12037" width="10.140625" style="98" bestFit="1" customWidth="1"/>
    <col min="12038" max="12040" width="10.140625" style="98" customWidth="1"/>
    <col min="12041" max="12041" width="16.28515625" style="98" customWidth="1"/>
    <col min="12042" max="12042" width="20.28515625" style="98" bestFit="1" customWidth="1"/>
    <col min="12043" max="12045" width="20.28515625" style="98" customWidth="1"/>
    <col min="12046" max="12046" width="20.28515625" style="98" bestFit="1" customWidth="1"/>
    <col min="12047" max="12047" width="15.42578125" style="98" customWidth="1"/>
    <col min="12048" max="12048" width="20.28515625" style="98" bestFit="1" customWidth="1"/>
    <col min="12049" max="12051" width="20.28515625" style="98" customWidth="1"/>
    <col min="12052" max="12052" width="20.28515625" style="98" bestFit="1" customWidth="1"/>
    <col min="12053" max="12053" width="15.42578125" style="98" customWidth="1"/>
    <col min="12054" max="12054" width="20.7109375" style="98" bestFit="1" customWidth="1"/>
    <col min="12055" max="12057" width="20.7109375" style="98" customWidth="1"/>
    <col min="12058" max="12058" width="20.7109375" style="98" bestFit="1" customWidth="1"/>
    <col min="12059" max="12059" width="12.140625" style="98" customWidth="1"/>
    <col min="12060" max="12288" width="8.7109375" style="98" customWidth="1"/>
    <col min="12289" max="12289" width="7.28515625" style="98" customWidth="1"/>
    <col min="12290" max="12290" width="18.28515625" style="98" customWidth="1"/>
    <col min="12291" max="12291" width="23.42578125" style="98" bestFit="1" customWidth="1"/>
    <col min="12292" max="12293" width="10.140625" style="98" bestFit="1" customWidth="1"/>
    <col min="12294" max="12296" width="10.140625" style="98" customWidth="1"/>
    <col min="12297" max="12297" width="16.28515625" style="98" customWidth="1"/>
    <col min="12298" max="12298" width="20.28515625" style="98" bestFit="1" customWidth="1"/>
    <col min="12299" max="12301" width="20.28515625" style="98" customWidth="1"/>
    <col min="12302" max="12302" width="20.28515625" style="98" bestFit="1" customWidth="1"/>
    <col min="12303" max="12303" width="15.42578125" style="98" customWidth="1"/>
    <col min="12304" max="12304" width="20.28515625" style="98" bestFit="1" customWidth="1"/>
    <col min="12305" max="12307" width="20.28515625" style="98" customWidth="1"/>
    <col min="12308" max="12308" width="20.28515625" style="98" bestFit="1" customWidth="1"/>
    <col min="12309" max="12309" width="15.42578125" style="98" customWidth="1"/>
    <col min="12310" max="12310" width="20.7109375" style="98" bestFit="1" customWidth="1"/>
    <col min="12311" max="12313" width="20.7109375" style="98" customWidth="1"/>
    <col min="12314" max="12314" width="20.7109375" style="98" bestFit="1" customWidth="1"/>
    <col min="12315" max="12315" width="12.140625" style="98" customWidth="1"/>
    <col min="12316" max="12544" width="8.7109375" style="98" customWidth="1"/>
    <col min="12545" max="12545" width="7.28515625" style="98" customWidth="1"/>
    <col min="12546" max="12546" width="18.28515625" style="98" customWidth="1"/>
    <col min="12547" max="12547" width="23.42578125" style="98" bestFit="1" customWidth="1"/>
    <col min="12548" max="12549" width="10.140625" style="98" bestFit="1" customWidth="1"/>
    <col min="12550" max="12552" width="10.140625" style="98" customWidth="1"/>
    <col min="12553" max="12553" width="16.28515625" style="98" customWidth="1"/>
    <col min="12554" max="12554" width="20.28515625" style="98" bestFit="1" customWidth="1"/>
    <col min="12555" max="12557" width="20.28515625" style="98" customWidth="1"/>
    <col min="12558" max="12558" width="20.28515625" style="98" bestFit="1" customWidth="1"/>
    <col min="12559" max="12559" width="15.42578125" style="98" customWidth="1"/>
    <col min="12560" max="12560" width="20.28515625" style="98" bestFit="1" customWidth="1"/>
    <col min="12561" max="12563" width="20.28515625" style="98" customWidth="1"/>
    <col min="12564" max="12564" width="20.28515625" style="98" bestFit="1" customWidth="1"/>
    <col min="12565" max="12565" width="15.42578125" style="98" customWidth="1"/>
    <col min="12566" max="12566" width="20.7109375" style="98" bestFit="1" customWidth="1"/>
    <col min="12567" max="12569" width="20.7109375" style="98" customWidth="1"/>
    <col min="12570" max="12570" width="20.7109375" style="98" bestFit="1" customWidth="1"/>
    <col min="12571" max="12571" width="12.140625" style="98" customWidth="1"/>
    <col min="12572" max="12800" width="8.7109375" style="98" customWidth="1"/>
    <col min="12801" max="12801" width="7.28515625" style="98" customWidth="1"/>
    <col min="12802" max="12802" width="18.28515625" style="98" customWidth="1"/>
    <col min="12803" max="12803" width="23.42578125" style="98" bestFit="1" customWidth="1"/>
    <col min="12804" max="12805" width="10.140625" style="98" bestFit="1" customWidth="1"/>
    <col min="12806" max="12808" width="10.140625" style="98" customWidth="1"/>
    <col min="12809" max="12809" width="16.28515625" style="98" customWidth="1"/>
    <col min="12810" max="12810" width="20.28515625" style="98" bestFit="1" customWidth="1"/>
    <col min="12811" max="12813" width="20.28515625" style="98" customWidth="1"/>
    <col min="12814" max="12814" width="20.28515625" style="98" bestFit="1" customWidth="1"/>
    <col min="12815" max="12815" width="15.42578125" style="98" customWidth="1"/>
    <col min="12816" max="12816" width="20.28515625" style="98" bestFit="1" customWidth="1"/>
    <col min="12817" max="12819" width="20.28515625" style="98" customWidth="1"/>
    <col min="12820" max="12820" width="20.28515625" style="98" bestFit="1" customWidth="1"/>
    <col min="12821" max="12821" width="15.42578125" style="98" customWidth="1"/>
    <col min="12822" max="12822" width="20.7109375" style="98" bestFit="1" customWidth="1"/>
    <col min="12823" max="12825" width="20.7109375" style="98" customWidth="1"/>
    <col min="12826" max="12826" width="20.7109375" style="98" bestFit="1" customWidth="1"/>
    <col min="12827" max="12827" width="12.140625" style="98" customWidth="1"/>
    <col min="12828" max="13056" width="8.7109375" style="98" customWidth="1"/>
    <col min="13057" max="13057" width="7.28515625" style="98" customWidth="1"/>
    <col min="13058" max="13058" width="18.28515625" style="98" customWidth="1"/>
    <col min="13059" max="13059" width="23.42578125" style="98" bestFit="1" customWidth="1"/>
    <col min="13060" max="13061" width="10.140625" style="98" bestFit="1" customWidth="1"/>
    <col min="13062" max="13064" width="10.140625" style="98" customWidth="1"/>
    <col min="13065" max="13065" width="16.28515625" style="98" customWidth="1"/>
    <col min="13066" max="13066" width="20.28515625" style="98" bestFit="1" customWidth="1"/>
    <col min="13067" max="13069" width="20.28515625" style="98" customWidth="1"/>
    <col min="13070" max="13070" width="20.28515625" style="98" bestFit="1" customWidth="1"/>
    <col min="13071" max="13071" width="15.42578125" style="98" customWidth="1"/>
    <col min="13072" max="13072" width="20.28515625" style="98" bestFit="1" customWidth="1"/>
    <col min="13073" max="13075" width="20.28515625" style="98" customWidth="1"/>
    <col min="13076" max="13076" width="20.28515625" style="98" bestFit="1" customWidth="1"/>
    <col min="13077" max="13077" width="15.42578125" style="98" customWidth="1"/>
    <col min="13078" max="13078" width="20.7109375" style="98" bestFit="1" customWidth="1"/>
    <col min="13079" max="13081" width="20.7109375" style="98" customWidth="1"/>
    <col min="13082" max="13082" width="20.7109375" style="98" bestFit="1" customWidth="1"/>
    <col min="13083" max="13083" width="12.140625" style="98" customWidth="1"/>
    <col min="13084" max="13312" width="8.7109375" style="98" customWidth="1"/>
    <col min="13313" max="13313" width="7.28515625" style="98" customWidth="1"/>
    <col min="13314" max="13314" width="18.28515625" style="98" customWidth="1"/>
    <col min="13315" max="13315" width="23.42578125" style="98" bestFit="1" customWidth="1"/>
    <col min="13316" max="13317" width="10.140625" style="98" bestFit="1" customWidth="1"/>
    <col min="13318" max="13320" width="10.140625" style="98" customWidth="1"/>
    <col min="13321" max="13321" width="16.28515625" style="98" customWidth="1"/>
    <col min="13322" max="13322" width="20.28515625" style="98" bestFit="1" customWidth="1"/>
    <col min="13323" max="13325" width="20.28515625" style="98" customWidth="1"/>
    <col min="13326" max="13326" width="20.28515625" style="98" bestFit="1" customWidth="1"/>
    <col min="13327" max="13327" width="15.42578125" style="98" customWidth="1"/>
    <col min="13328" max="13328" width="20.28515625" style="98" bestFit="1" customWidth="1"/>
    <col min="13329" max="13331" width="20.28515625" style="98" customWidth="1"/>
    <col min="13332" max="13332" width="20.28515625" style="98" bestFit="1" customWidth="1"/>
    <col min="13333" max="13333" width="15.42578125" style="98" customWidth="1"/>
    <col min="13334" max="13334" width="20.7109375" style="98" bestFit="1" customWidth="1"/>
    <col min="13335" max="13337" width="20.7109375" style="98" customWidth="1"/>
    <col min="13338" max="13338" width="20.7109375" style="98" bestFit="1" customWidth="1"/>
    <col min="13339" max="13339" width="12.140625" style="98" customWidth="1"/>
    <col min="13340" max="13568" width="8.7109375" style="98" customWidth="1"/>
    <col min="13569" max="13569" width="7.28515625" style="98" customWidth="1"/>
    <col min="13570" max="13570" width="18.28515625" style="98" customWidth="1"/>
    <col min="13571" max="13571" width="23.42578125" style="98" bestFit="1" customWidth="1"/>
    <col min="13572" max="13573" width="10.140625" style="98" bestFit="1" customWidth="1"/>
    <col min="13574" max="13576" width="10.140625" style="98" customWidth="1"/>
    <col min="13577" max="13577" width="16.28515625" style="98" customWidth="1"/>
    <col min="13578" max="13578" width="20.28515625" style="98" bestFit="1" customWidth="1"/>
    <col min="13579" max="13581" width="20.28515625" style="98" customWidth="1"/>
    <col min="13582" max="13582" width="20.28515625" style="98" bestFit="1" customWidth="1"/>
    <col min="13583" max="13583" width="15.42578125" style="98" customWidth="1"/>
    <col min="13584" max="13584" width="20.28515625" style="98" bestFit="1" customWidth="1"/>
    <col min="13585" max="13587" width="20.28515625" style="98" customWidth="1"/>
    <col min="13588" max="13588" width="20.28515625" style="98" bestFit="1" customWidth="1"/>
    <col min="13589" max="13589" width="15.42578125" style="98" customWidth="1"/>
    <col min="13590" max="13590" width="20.7109375" style="98" bestFit="1" customWidth="1"/>
    <col min="13591" max="13593" width="20.7109375" style="98" customWidth="1"/>
    <col min="13594" max="13594" width="20.7109375" style="98" bestFit="1" customWidth="1"/>
    <col min="13595" max="13595" width="12.140625" style="98" customWidth="1"/>
    <col min="13596" max="13824" width="8.7109375" style="98" customWidth="1"/>
    <col min="13825" max="13825" width="7.28515625" style="98" customWidth="1"/>
    <col min="13826" max="13826" width="18.28515625" style="98" customWidth="1"/>
    <col min="13827" max="13827" width="23.42578125" style="98" bestFit="1" customWidth="1"/>
    <col min="13828" max="13829" width="10.140625" style="98" bestFit="1" customWidth="1"/>
    <col min="13830" max="13832" width="10.140625" style="98" customWidth="1"/>
    <col min="13833" max="13833" width="16.28515625" style="98" customWidth="1"/>
    <col min="13834" max="13834" width="20.28515625" style="98" bestFit="1" customWidth="1"/>
    <col min="13835" max="13837" width="20.28515625" style="98" customWidth="1"/>
    <col min="13838" max="13838" width="20.28515625" style="98" bestFit="1" customWidth="1"/>
    <col min="13839" max="13839" width="15.42578125" style="98" customWidth="1"/>
    <col min="13840" max="13840" width="20.28515625" style="98" bestFit="1" customWidth="1"/>
    <col min="13841" max="13843" width="20.28515625" style="98" customWidth="1"/>
    <col min="13844" max="13844" width="20.28515625" style="98" bestFit="1" customWidth="1"/>
    <col min="13845" max="13845" width="15.42578125" style="98" customWidth="1"/>
    <col min="13846" max="13846" width="20.7109375" style="98" bestFit="1" customWidth="1"/>
    <col min="13847" max="13849" width="20.7109375" style="98" customWidth="1"/>
    <col min="13850" max="13850" width="20.7109375" style="98" bestFit="1" customWidth="1"/>
    <col min="13851" max="13851" width="12.140625" style="98" customWidth="1"/>
    <col min="13852" max="14080" width="8.7109375" style="98" customWidth="1"/>
    <col min="14081" max="14081" width="7.28515625" style="98" customWidth="1"/>
    <col min="14082" max="14082" width="18.28515625" style="98" customWidth="1"/>
    <col min="14083" max="14083" width="23.42578125" style="98" bestFit="1" customWidth="1"/>
    <col min="14084" max="14085" width="10.140625" style="98" bestFit="1" customWidth="1"/>
    <col min="14086" max="14088" width="10.140625" style="98" customWidth="1"/>
    <col min="14089" max="14089" width="16.28515625" style="98" customWidth="1"/>
    <col min="14090" max="14090" width="20.28515625" style="98" bestFit="1" customWidth="1"/>
    <col min="14091" max="14093" width="20.28515625" style="98" customWidth="1"/>
    <col min="14094" max="14094" width="20.28515625" style="98" bestFit="1" customWidth="1"/>
    <col min="14095" max="14095" width="15.42578125" style="98" customWidth="1"/>
    <col min="14096" max="14096" width="20.28515625" style="98" bestFit="1" customWidth="1"/>
    <col min="14097" max="14099" width="20.28515625" style="98" customWidth="1"/>
    <col min="14100" max="14100" width="20.28515625" style="98" bestFit="1" customWidth="1"/>
    <col min="14101" max="14101" width="15.42578125" style="98" customWidth="1"/>
    <col min="14102" max="14102" width="20.7109375" style="98" bestFit="1" customWidth="1"/>
    <col min="14103" max="14105" width="20.7109375" style="98" customWidth="1"/>
    <col min="14106" max="14106" width="20.7109375" style="98" bestFit="1" customWidth="1"/>
    <col min="14107" max="14107" width="12.140625" style="98" customWidth="1"/>
    <col min="14108" max="14336" width="8.7109375" style="98" customWidth="1"/>
    <col min="14337" max="14337" width="7.28515625" style="98" customWidth="1"/>
    <col min="14338" max="14338" width="18.28515625" style="98" customWidth="1"/>
    <col min="14339" max="14339" width="23.42578125" style="98" bestFit="1" customWidth="1"/>
    <col min="14340" max="14341" width="10.140625" style="98" bestFit="1" customWidth="1"/>
    <col min="14342" max="14344" width="10.140625" style="98" customWidth="1"/>
    <col min="14345" max="14345" width="16.28515625" style="98" customWidth="1"/>
    <col min="14346" max="14346" width="20.28515625" style="98" bestFit="1" customWidth="1"/>
    <col min="14347" max="14349" width="20.28515625" style="98" customWidth="1"/>
    <col min="14350" max="14350" width="20.28515625" style="98" bestFit="1" customWidth="1"/>
    <col min="14351" max="14351" width="15.42578125" style="98" customWidth="1"/>
    <col min="14352" max="14352" width="20.28515625" style="98" bestFit="1" customWidth="1"/>
    <col min="14353" max="14355" width="20.28515625" style="98" customWidth="1"/>
    <col min="14356" max="14356" width="20.28515625" style="98" bestFit="1" customWidth="1"/>
    <col min="14357" max="14357" width="15.42578125" style="98" customWidth="1"/>
    <col min="14358" max="14358" width="20.7109375" style="98" bestFit="1" customWidth="1"/>
    <col min="14359" max="14361" width="20.7109375" style="98" customWidth="1"/>
    <col min="14362" max="14362" width="20.7109375" style="98" bestFit="1" customWidth="1"/>
    <col min="14363" max="14363" width="12.140625" style="98" customWidth="1"/>
    <col min="14364" max="14592" width="8.7109375" style="98" customWidth="1"/>
    <col min="14593" max="14593" width="7.28515625" style="98" customWidth="1"/>
    <col min="14594" max="14594" width="18.28515625" style="98" customWidth="1"/>
    <col min="14595" max="14595" width="23.42578125" style="98" bestFit="1" customWidth="1"/>
    <col min="14596" max="14597" width="10.140625" style="98" bestFit="1" customWidth="1"/>
    <col min="14598" max="14600" width="10.140625" style="98" customWidth="1"/>
    <col min="14601" max="14601" width="16.28515625" style="98" customWidth="1"/>
    <col min="14602" max="14602" width="20.28515625" style="98" bestFit="1" customWidth="1"/>
    <col min="14603" max="14605" width="20.28515625" style="98" customWidth="1"/>
    <col min="14606" max="14606" width="20.28515625" style="98" bestFit="1" customWidth="1"/>
    <col min="14607" max="14607" width="15.42578125" style="98" customWidth="1"/>
    <col min="14608" max="14608" width="20.28515625" style="98" bestFit="1" customWidth="1"/>
    <col min="14609" max="14611" width="20.28515625" style="98" customWidth="1"/>
    <col min="14612" max="14612" width="20.28515625" style="98" bestFit="1" customWidth="1"/>
    <col min="14613" max="14613" width="15.42578125" style="98" customWidth="1"/>
    <col min="14614" max="14614" width="20.7109375" style="98" bestFit="1" customWidth="1"/>
    <col min="14615" max="14617" width="20.7109375" style="98" customWidth="1"/>
    <col min="14618" max="14618" width="20.7109375" style="98" bestFit="1" customWidth="1"/>
    <col min="14619" max="14619" width="12.140625" style="98" customWidth="1"/>
    <col min="14620" max="14848" width="8.7109375" style="98" customWidth="1"/>
    <col min="14849" max="14849" width="7.28515625" style="98" customWidth="1"/>
    <col min="14850" max="14850" width="18.28515625" style="98" customWidth="1"/>
    <col min="14851" max="14851" width="23.42578125" style="98" bestFit="1" customWidth="1"/>
    <col min="14852" max="14853" width="10.140625" style="98" bestFit="1" customWidth="1"/>
    <col min="14854" max="14856" width="10.140625" style="98" customWidth="1"/>
    <col min="14857" max="14857" width="16.28515625" style="98" customWidth="1"/>
    <col min="14858" max="14858" width="20.28515625" style="98" bestFit="1" customWidth="1"/>
    <col min="14859" max="14861" width="20.28515625" style="98" customWidth="1"/>
    <col min="14862" max="14862" width="20.28515625" style="98" bestFit="1" customWidth="1"/>
    <col min="14863" max="14863" width="15.42578125" style="98" customWidth="1"/>
    <col min="14864" max="14864" width="20.28515625" style="98" bestFit="1" customWidth="1"/>
    <col min="14865" max="14867" width="20.28515625" style="98" customWidth="1"/>
    <col min="14868" max="14868" width="20.28515625" style="98" bestFit="1" customWidth="1"/>
    <col min="14869" max="14869" width="15.42578125" style="98" customWidth="1"/>
    <col min="14870" max="14870" width="20.7109375" style="98" bestFit="1" customWidth="1"/>
    <col min="14871" max="14873" width="20.7109375" style="98" customWidth="1"/>
    <col min="14874" max="14874" width="20.7109375" style="98" bestFit="1" customWidth="1"/>
    <col min="14875" max="14875" width="12.140625" style="98" customWidth="1"/>
    <col min="14876" max="15104" width="8.7109375" style="98" customWidth="1"/>
    <col min="15105" max="15105" width="7.28515625" style="98" customWidth="1"/>
    <col min="15106" max="15106" width="18.28515625" style="98" customWidth="1"/>
    <col min="15107" max="15107" width="23.42578125" style="98" bestFit="1" customWidth="1"/>
    <col min="15108" max="15109" width="10.140625" style="98" bestFit="1" customWidth="1"/>
    <col min="15110" max="15112" width="10.140625" style="98" customWidth="1"/>
    <col min="15113" max="15113" width="16.28515625" style="98" customWidth="1"/>
    <col min="15114" max="15114" width="20.28515625" style="98" bestFit="1" customWidth="1"/>
    <col min="15115" max="15117" width="20.28515625" style="98" customWidth="1"/>
    <col min="15118" max="15118" width="20.28515625" style="98" bestFit="1" customWidth="1"/>
    <col min="15119" max="15119" width="15.42578125" style="98" customWidth="1"/>
    <col min="15120" max="15120" width="20.28515625" style="98" bestFit="1" customWidth="1"/>
    <col min="15121" max="15123" width="20.28515625" style="98" customWidth="1"/>
    <col min="15124" max="15124" width="20.28515625" style="98" bestFit="1" customWidth="1"/>
    <col min="15125" max="15125" width="15.42578125" style="98" customWidth="1"/>
    <col min="15126" max="15126" width="20.7109375" style="98" bestFit="1" customWidth="1"/>
    <col min="15127" max="15129" width="20.7109375" style="98" customWidth="1"/>
    <col min="15130" max="15130" width="20.7109375" style="98" bestFit="1" customWidth="1"/>
    <col min="15131" max="15131" width="12.140625" style="98" customWidth="1"/>
    <col min="15132" max="15360" width="8.7109375" style="98" customWidth="1"/>
    <col min="15361" max="15361" width="7.28515625" style="98" customWidth="1"/>
    <col min="15362" max="15362" width="18.28515625" style="98" customWidth="1"/>
    <col min="15363" max="15363" width="23.42578125" style="98" bestFit="1" customWidth="1"/>
    <col min="15364" max="15365" width="10.140625" style="98" bestFit="1" customWidth="1"/>
    <col min="15366" max="15368" width="10.140625" style="98" customWidth="1"/>
    <col min="15369" max="15369" width="16.28515625" style="98" customWidth="1"/>
    <col min="15370" max="15370" width="20.28515625" style="98" bestFit="1" customWidth="1"/>
    <col min="15371" max="15373" width="20.28515625" style="98" customWidth="1"/>
    <col min="15374" max="15374" width="20.28515625" style="98" bestFit="1" customWidth="1"/>
    <col min="15375" max="15375" width="15.42578125" style="98" customWidth="1"/>
    <col min="15376" max="15376" width="20.28515625" style="98" bestFit="1" customWidth="1"/>
    <col min="15377" max="15379" width="20.28515625" style="98" customWidth="1"/>
    <col min="15380" max="15380" width="20.28515625" style="98" bestFit="1" customWidth="1"/>
    <col min="15381" max="15381" width="15.42578125" style="98" customWidth="1"/>
    <col min="15382" max="15382" width="20.7109375" style="98" bestFit="1" customWidth="1"/>
    <col min="15383" max="15385" width="20.7109375" style="98" customWidth="1"/>
    <col min="15386" max="15386" width="20.7109375" style="98" bestFit="1" customWidth="1"/>
    <col min="15387" max="15387" width="12.140625" style="98" customWidth="1"/>
    <col min="15388" max="15616" width="8.7109375" style="98" customWidth="1"/>
    <col min="15617" max="15617" width="7.28515625" style="98" customWidth="1"/>
    <col min="15618" max="15618" width="18.28515625" style="98" customWidth="1"/>
    <col min="15619" max="15619" width="23.42578125" style="98" bestFit="1" customWidth="1"/>
    <col min="15620" max="15621" width="10.140625" style="98" bestFit="1" customWidth="1"/>
    <col min="15622" max="15624" width="10.140625" style="98" customWidth="1"/>
    <col min="15625" max="15625" width="16.28515625" style="98" customWidth="1"/>
    <col min="15626" max="15626" width="20.28515625" style="98" bestFit="1" customWidth="1"/>
    <col min="15627" max="15629" width="20.28515625" style="98" customWidth="1"/>
    <col min="15630" max="15630" width="20.28515625" style="98" bestFit="1" customWidth="1"/>
    <col min="15631" max="15631" width="15.42578125" style="98" customWidth="1"/>
    <col min="15632" max="15632" width="20.28515625" style="98" bestFit="1" customWidth="1"/>
    <col min="15633" max="15635" width="20.28515625" style="98" customWidth="1"/>
    <col min="15636" max="15636" width="20.28515625" style="98" bestFit="1" customWidth="1"/>
    <col min="15637" max="15637" width="15.42578125" style="98" customWidth="1"/>
    <col min="15638" max="15638" width="20.7109375" style="98" bestFit="1" customWidth="1"/>
    <col min="15639" max="15641" width="20.7109375" style="98" customWidth="1"/>
    <col min="15642" max="15642" width="20.7109375" style="98" bestFit="1" customWidth="1"/>
    <col min="15643" max="15643" width="12.140625" style="98" customWidth="1"/>
    <col min="15644" max="15872" width="8.7109375" style="98" customWidth="1"/>
    <col min="15873" max="15873" width="7.28515625" style="98" customWidth="1"/>
    <col min="15874" max="15874" width="18.28515625" style="98" customWidth="1"/>
    <col min="15875" max="15875" width="23.42578125" style="98" bestFit="1" customWidth="1"/>
    <col min="15876" max="15877" width="10.140625" style="98" bestFit="1" customWidth="1"/>
    <col min="15878" max="15880" width="10.140625" style="98" customWidth="1"/>
    <col min="15881" max="15881" width="16.28515625" style="98" customWidth="1"/>
    <col min="15882" max="15882" width="20.28515625" style="98" bestFit="1" customWidth="1"/>
    <col min="15883" max="15885" width="20.28515625" style="98" customWidth="1"/>
    <col min="15886" max="15886" width="20.28515625" style="98" bestFit="1" customWidth="1"/>
    <col min="15887" max="15887" width="15.42578125" style="98" customWidth="1"/>
    <col min="15888" max="15888" width="20.28515625" style="98" bestFit="1" customWidth="1"/>
    <col min="15889" max="15891" width="20.28515625" style="98" customWidth="1"/>
    <col min="15892" max="15892" width="20.28515625" style="98" bestFit="1" customWidth="1"/>
    <col min="15893" max="15893" width="15.42578125" style="98" customWidth="1"/>
    <col min="15894" max="15894" width="20.7109375" style="98" bestFit="1" customWidth="1"/>
    <col min="15895" max="15897" width="20.7109375" style="98" customWidth="1"/>
    <col min="15898" max="15898" width="20.7109375" style="98" bestFit="1" customWidth="1"/>
    <col min="15899" max="15899" width="12.140625" style="98" customWidth="1"/>
    <col min="15900" max="16128" width="8.7109375" style="98" customWidth="1"/>
    <col min="16129" max="16129" width="7.28515625" style="98" customWidth="1"/>
    <col min="16130" max="16130" width="18.28515625" style="98" customWidth="1"/>
    <col min="16131" max="16131" width="23.42578125" style="98" bestFit="1" customWidth="1"/>
    <col min="16132" max="16133" width="10.140625" style="98" bestFit="1" customWidth="1"/>
    <col min="16134" max="16136" width="10.140625" style="98" customWidth="1"/>
    <col min="16137" max="16137" width="16.28515625" style="98" customWidth="1"/>
    <col min="16138" max="16138" width="20.28515625" style="98" bestFit="1" customWidth="1"/>
    <col min="16139" max="16141" width="20.28515625" style="98" customWidth="1"/>
    <col min="16142" max="16142" width="20.28515625" style="98" bestFit="1" customWidth="1"/>
    <col min="16143" max="16143" width="15.42578125" style="98" customWidth="1"/>
    <col min="16144" max="16144" width="20.28515625" style="98" bestFit="1" customWidth="1"/>
    <col min="16145" max="16147" width="20.28515625" style="98" customWidth="1"/>
    <col min="16148" max="16148" width="20.28515625" style="98" bestFit="1" customWidth="1"/>
    <col min="16149" max="16149" width="15.42578125" style="98" customWidth="1"/>
    <col min="16150" max="16150" width="20.7109375" style="98" bestFit="1" customWidth="1"/>
    <col min="16151" max="16153" width="20.7109375" style="98" customWidth="1"/>
    <col min="16154" max="16154" width="20.7109375" style="98" bestFit="1" customWidth="1"/>
    <col min="16155" max="16155" width="12.140625" style="98" customWidth="1"/>
    <col min="16156" max="16384" width="8.7109375" style="98" customWidth="1"/>
  </cols>
  <sheetData>
    <row r="2" spans="1:27" ht="13.5" thickBot="1"/>
    <row r="3" spans="1:27" ht="14.45" customHeight="1">
      <c r="A3" s="312" t="s">
        <v>115</v>
      </c>
      <c r="B3" s="307" t="s">
        <v>116</v>
      </c>
      <c r="C3" s="315" t="s">
        <v>173</v>
      </c>
      <c r="D3" s="307" t="s">
        <v>174</v>
      </c>
      <c r="E3" s="307"/>
      <c r="F3" s="307"/>
      <c r="G3" s="307"/>
      <c r="H3" s="307"/>
      <c r="I3" s="307"/>
      <c r="J3" s="307" t="s">
        <v>177</v>
      </c>
      <c r="K3" s="307"/>
      <c r="L3" s="307"/>
      <c r="M3" s="307"/>
      <c r="N3" s="307"/>
      <c r="O3" s="307"/>
      <c r="P3" s="307" t="s">
        <v>176</v>
      </c>
      <c r="Q3" s="307"/>
      <c r="R3" s="307"/>
      <c r="S3" s="307"/>
      <c r="T3" s="307"/>
      <c r="U3" s="307"/>
      <c r="V3" s="307" t="s">
        <v>175</v>
      </c>
      <c r="W3" s="307"/>
      <c r="X3" s="307"/>
      <c r="Y3" s="307"/>
      <c r="Z3" s="307"/>
      <c r="AA3" s="308"/>
    </row>
    <row r="4" spans="1:27" ht="46.5" customHeight="1" thickBot="1">
      <c r="A4" s="313"/>
      <c r="B4" s="314"/>
      <c r="C4" s="316"/>
      <c r="D4" s="126">
        <v>2020</v>
      </c>
      <c r="E4" s="126">
        <v>2021</v>
      </c>
      <c r="F4" s="126">
        <v>2022</v>
      </c>
      <c r="G4" s="126">
        <v>2023</v>
      </c>
      <c r="H4" s="126">
        <v>2024</v>
      </c>
      <c r="I4" s="127" t="s">
        <v>117</v>
      </c>
      <c r="J4" s="126">
        <v>2020</v>
      </c>
      <c r="K4" s="126">
        <v>2021</v>
      </c>
      <c r="L4" s="126">
        <v>2022</v>
      </c>
      <c r="M4" s="126">
        <v>2023</v>
      </c>
      <c r="N4" s="126">
        <v>2024</v>
      </c>
      <c r="O4" s="127" t="s">
        <v>117</v>
      </c>
      <c r="P4" s="126">
        <v>2020</v>
      </c>
      <c r="Q4" s="126">
        <v>2021</v>
      </c>
      <c r="R4" s="126">
        <v>2022</v>
      </c>
      <c r="S4" s="126">
        <v>2023</v>
      </c>
      <c r="T4" s="126">
        <v>2024</v>
      </c>
      <c r="U4" s="127" t="s">
        <v>117</v>
      </c>
      <c r="V4" s="126">
        <v>2020</v>
      </c>
      <c r="W4" s="126">
        <v>2021</v>
      </c>
      <c r="X4" s="126">
        <v>2022</v>
      </c>
      <c r="Y4" s="126">
        <v>2023</v>
      </c>
      <c r="Z4" s="126">
        <v>2024</v>
      </c>
      <c r="AA4" s="127" t="s">
        <v>117</v>
      </c>
    </row>
    <row r="5" spans="1:27" s="99" customFormat="1" ht="14.25">
      <c r="A5" s="154">
        <v>1</v>
      </c>
      <c r="B5" s="155" t="s">
        <v>6</v>
      </c>
      <c r="C5" s="156">
        <f>Projecção!G102</f>
        <v>12000</v>
      </c>
      <c r="D5" s="157">
        <f>Projecção!K5</f>
        <v>2043369.099194675</v>
      </c>
      <c r="E5" s="157">
        <f>Projecção!L5</f>
        <v>2115175.9247941528</v>
      </c>
      <c r="F5" s="157">
        <f>Projecção!M5</f>
        <v>2115175.9247941528</v>
      </c>
      <c r="G5" s="157">
        <f>Projecção!N5</f>
        <v>2189506.1418869765</v>
      </c>
      <c r="H5" s="157">
        <f>Projecção!O5</f>
        <v>2266448.4259517728</v>
      </c>
      <c r="I5" s="135">
        <f>((E5/D5-1)+(F5/E5-1)+(G5/F5-1)+(H5/G5-1))/4</f>
        <v>2.6356040727460173E-2</v>
      </c>
      <c r="J5" s="156">
        <f>+D5*$C5</f>
        <v>24520429190.336102</v>
      </c>
      <c r="K5" s="156">
        <f t="shared" ref="K5:N9" si="0">+E5*$C5</f>
        <v>25382111097.529835</v>
      </c>
      <c r="L5" s="156">
        <f t="shared" si="0"/>
        <v>25382111097.529835</v>
      </c>
      <c r="M5" s="156">
        <f t="shared" si="0"/>
        <v>26274073702.643719</v>
      </c>
      <c r="N5" s="156">
        <f t="shared" si="0"/>
        <v>27197381111.421272</v>
      </c>
      <c r="O5" s="136">
        <f t="shared" ref="O5:O39" si="1">((K5/J5-1)+(L5/K5-1)+(M5/L5-1)+(N5/M5-1))/4</f>
        <v>2.6356040727460062E-2</v>
      </c>
      <c r="P5" s="156">
        <f>Projecção!K53*'Custos de Produção'!$I$6</f>
        <v>19501849014</v>
      </c>
      <c r="Q5" s="156">
        <f>Projecção!L53*'Custos de Produção'!$I$6</f>
        <v>19153957984.200691</v>
      </c>
      <c r="R5" s="156">
        <f>Projecção!M53*'Custos de Produção'!$I$6</f>
        <v>18812272938.691792</v>
      </c>
      <c r="S5" s="156">
        <f>Projecção!N53*'Custos de Produção'!$I$6</f>
        <v>18476683169.700714</v>
      </c>
      <c r="T5" s="156">
        <f>Projecção!O53*'Custos de Produção'!$I$6</f>
        <v>18147079944.356888</v>
      </c>
      <c r="U5" s="136">
        <f>((Q5/P5-1)+(R5/Q5-1)+(S5/R5-1)+(T5/S5-1))/4</f>
        <v>-1.7838874126733517E-2</v>
      </c>
      <c r="V5" s="156">
        <f>+J5-P5</f>
        <v>5018580176.3361015</v>
      </c>
      <c r="W5" s="156">
        <f t="shared" ref="W5:Z5" si="2">+K5-Q5</f>
        <v>6228153113.3291435</v>
      </c>
      <c r="X5" s="156">
        <f t="shared" si="2"/>
        <v>6569838158.8380432</v>
      </c>
      <c r="Y5" s="156">
        <f t="shared" si="2"/>
        <v>7797390532.9430046</v>
      </c>
      <c r="Z5" s="156">
        <f t="shared" si="2"/>
        <v>9050301167.0643845</v>
      </c>
      <c r="AA5" s="136">
        <f>((W5/V5-1)+(X5/W5-1)+(Y5/X5-1)+(Z5/Y5-1))/4</f>
        <v>0.16085258028446697</v>
      </c>
    </row>
    <row r="6" spans="1:27" s="99" customFormat="1" ht="14.25">
      <c r="A6" s="154">
        <v>2</v>
      </c>
      <c r="B6" s="158" t="s">
        <v>7</v>
      </c>
      <c r="C6" s="156">
        <v>15000</v>
      </c>
      <c r="D6" s="157">
        <f>Projecção!K6</f>
        <v>280541.64002909837</v>
      </c>
      <c r="E6" s="157">
        <f>Projecção!L6</f>
        <v>290956.05098046659</v>
      </c>
      <c r="F6" s="157">
        <f>Projecção!M6</f>
        <v>290956.05098046659</v>
      </c>
      <c r="G6" s="157">
        <f>Projecção!N6</f>
        <v>301757.07104787452</v>
      </c>
      <c r="H6" s="157">
        <f>Projecção!O6</f>
        <v>312959.05213363358</v>
      </c>
      <c r="I6" s="135">
        <f t="shared" ref="I6:I38" si="3">((E6/D6-1)+(F6/E6-1)+(G6/F6-1)+(H6/G6-1))/4</f>
        <v>2.7841885478091688E-2</v>
      </c>
      <c r="J6" s="156">
        <f t="shared" ref="J6:J9" si="4">+D6*$C6</f>
        <v>4208124600.4364758</v>
      </c>
      <c r="K6" s="156">
        <f t="shared" si="0"/>
        <v>4364340764.7069988</v>
      </c>
      <c r="L6" s="156">
        <f t="shared" si="0"/>
        <v>4364340764.7069988</v>
      </c>
      <c r="M6" s="156">
        <f t="shared" si="0"/>
        <v>4526356065.7181177</v>
      </c>
      <c r="N6" s="156">
        <f t="shared" si="0"/>
        <v>4694385782.0045033</v>
      </c>
      <c r="O6" s="136">
        <f>((K6/J6-1)+(L6/K6-1)+(M6/L6-1)+(N6/M6-1))/4</f>
        <v>2.7841885478091632E-2</v>
      </c>
      <c r="P6" s="156">
        <f>Projecção!K54*'Custos de Produção'!$I$8</f>
        <v>3600271800</v>
      </c>
      <c r="Q6" s="156">
        <f>Projecção!L54*'Custos de Produção'!$I$8</f>
        <v>3576968889.6827145</v>
      </c>
      <c r="R6" s="156">
        <f>Projecção!M54*'Custos de Produção'!$I$8</f>
        <v>3553816808.4304047</v>
      </c>
      <c r="S6" s="156">
        <f>Projecção!N54*'Custos de Produção'!$I$8</f>
        <v>3530814579.9956193</v>
      </c>
      <c r="T6" s="156">
        <f>Projecção!O54*'Custos de Produção'!$I$8</f>
        <v>3507961234.449707</v>
      </c>
      <c r="U6" s="136">
        <f t="shared" ref="U6:U39" si="5">((Q6/P6-1)+(R6/Q6-1)+(S6/R6-1)+(T6/S6-1))/4</f>
        <v>-6.4725419667720219E-3</v>
      </c>
      <c r="V6" s="156">
        <f t="shared" ref="V6:V9" si="6">+J6-P6</f>
        <v>607852800.43647575</v>
      </c>
      <c r="W6" s="156">
        <f t="shared" ref="W6:W10" si="7">+K6-Q6</f>
        <v>787371875.02428436</v>
      </c>
      <c r="X6" s="156">
        <f t="shared" ref="X6:X10" si="8">+L6-R6</f>
        <v>810523956.27659416</v>
      </c>
      <c r="Y6" s="156">
        <f t="shared" ref="Y6:Y10" si="9">+M6-S6</f>
        <v>995541485.72249842</v>
      </c>
      <c r="Z6" s="156">
        <f t="shared" ref="Z6:Z10" si="10">+N6-T6</f>
        <v>1186424547.5547962</v>
      </c>
      <c r="AA6" s="136">
        <f t="shared" ref="AA6:AA39" si="11">((W6/V6-1)+(X6/W6-1)+(Y6/X6-1)+(Z6/Y6-1))/4</f>
        <v>0.18618609068249847</v>
      </c>
    </row>
    <row r="7" spans="1:27" s="99" customFormat="1" ht="14.25">
      <c r="A7" s="154">
        <v>3</v>
      </c>
      <c r="B7" s="158" t="s">
        <v>8</v>
      </c>
      <c r="C7" s="156">
        <v>17000</v>
      </c>
      <c r="D7" s="157">
        <f>Projecção!K7</f>
        <v>38079.394262141883</v>
      </c>
      <c r="E7" s="157">
        <f>Projecção!L7</f>
        <v>39296.484210613664</v>
      </c>
      <c r="F7" s="157">
        <f>Projecção!M7</f>
        <v>39296.484210613664</v>
      </c>
      <c r="G7" s="157">
        <f>Projecção!N7</f>
        <v>40552.474671327669</v>
      </c>
      <c r="H7" s="157">
        <f>Projecção!O7</f>
        <v>41848.60897872653</v>
      </c>
      <c r="I7" s="135">
        <f t="shared" si="3"/>
        <v>2.3971428092314728E-2</v>
      </c>
      <c r="J7" s="156">
        <f>+D7*$C7</f>
        <v>647349702.45641196</v>
      </c>
      <c r="K7" s="156">
        <f>+E7*$C7</f>
        <v>668040231.5804323</v>
      </c>
      <c r="L7" s="156">
        <f t="shared" si="0"/>
        <v>668040231.5804323</v>
      </c>
      <c r="M7" s="156">
        <f t="shared" si="0"/>
        <v>689392069.41257036</v>
      </c>
      <c r="N7" s="156">
        <f t="shared" si="0"/>
        <v>711426352.63835096</v>
      </c>
      <c r="O7" s="136">
        <f t="shared" si="1"/>
        <v>2.3971428092314673E-2</v>
      </c>
      <c r="P7" s="156">
        <f>Projecção!K55*'Custos de Produção'!$I$9</f>
        <v>645427440</v>
      </c>
      <c r="Q7" s="156">
        <f>Projecção!L55*'Custos de Produção'!$I$9</f>
        <v>651881714.39999998</v>
      </c>
      <c r="R7" s="156">
        <f>Projecção!M55*'Custos de Produção'!$I$9</f>
        <v>658400531.54400003</v>
      </c>
      <c r="S7" s="156">
        <f>Projecção!N55*'Custos de Produção'!$I$9</f>
        <v>664984536.85944009</v>
      </c>
      <c r="T7" s="156">
        <f>Projecção!O55*'Custos de Produção'!$I$9</f>
        <v>671634382.2280345</v>
      </c>
      <c r="U7" s="136">
        <f t="shared" si="5"/>
        <v>1.0000000000000009E-2</v>
      </c>
      <c r="V7" s="156">
        <f>+J7-P7</f>
        <v>1922262.4564119577</v>
      </c>
      <c r="W7" s="156">
        <f>+K7-Q7</f>
        <v>16158517.18043232</v>
      </c>
      <c r="X7" s="156">
        <f t="shared" si="8"/>
        <v>9639700.0364322662</v>
      </c>
      <c r="Y7" s="156">
        <f t="shared" si="9"/>
        <v>24407532.553130269</v>
      </c>
      <c r="Z7" s="156">
        <f t="shared" si="10"/>
        <v>39791970.410316467</v>
      </c>
      <c r="AA7" s="136">
        <f t="shared" si="11"/>
        <v>2.2912138897857948</v>
      </c>
    </row>
    <row r="8" spans="1:27" s="99" customFormat="1" ht="14.25">
      <c r="A8" s="154">
        <v>4</v>
      </c>
      <c r="B8" s="158" t="s">
        <v>9</v>
      </c>
      <c r="C8" s="156">
        <v>10000</v>
      </c>
      <c r="D8" s="157">
        <f>Projecção!K8</f>
        <v>12089.171064241329</v>
      </c>
      <c r="E8" s="157">
        <f>Projecção!L8</f>
        <v>10906.571419439539</v>
      </c>
      <c r="F8" s="157">
        <f>Projecção!M8</f>
        <v>10906.571419439539</v>
      </c>
      <c r="G8" s="157">
        <f>Projecção!N8</f>
        <v>9839.6572846246236</v>
      </c>
      <c r="H8" s="157">
        <f>Projecção!O8</f>
        <v>8877.1119498011503</v>
      </c>
      <c r="I8" s="135">
        <f t="shared" si="3"/>
        <v>-7.3367291180522598E-2</v>
      </c>
      <c r="J8" s="156">
        <f t="shared" si="4"/>
        <v>120891710.64241329</v>
      </c>
      <c r="K8" s="156">
        <f t="shared" si="0"/>
        <v>109065714.19439539</v>
      </c>
      <c r="L8" s="156">
        <f t="shared" si="0"/>
        <v>109065714.19439539</v>
      </c>
      <c r="M8" s="156">
        <f t="shared" si="0"/>
        <v>98396572.846246243</v>
      </c>
      <c r="N8" s="156">
        <f t="shared" si="0"/>
        <v>88771119.4980115</v>
      </c>
      <c r="O8" s="136">
        <f t="shared" si="1"/>
        <v>-7.3367291180522626E-2</v>
      </c>
      <c r="P8" s="156">
        <f>Projecção!K56*'Custos de Produção'!$I$10</f>
        <v>72293242.964163154</v>
      </c>
      <c r="Q8" s="156">
        <f>Projecção!L56*'Custos de Produção'!$I$10</f>
        <v>65221297.088248447</v>
      </c>
      <c r="R8" s="156">
        <f>Projecção!M56*'Custos de Produção'!$I$10</f>
        <v>65221297.088248447</v>
      </c>
      <c r="S8" s="156">
        <f>Projecção!N56*'Custos de Produção'!$I$10</f>
        <v>58841150.562055252</v>
      </c>
      <c r="T8" s="156">
        <f>Projecção!O56*'Custos de Produção'!$I$10</f>
        <v>53085129.459810875</v>
      </c>
      <c r="U8" s="136">
        <f t="shared" si="5"/>
        <v>-7.3367291180522654E-2</v>
      </c>
      <c r="V8" s="156">
        <f t="shared" si="6"/>
        <v>48598467.678250134</v>
      </c>
      <c r="W8" s="156">
        <f t="shared" si="7"/>
        <v>43844417.106146947</v>
      </c>
      <c r="X8" s="156">
        <f t="shared" si="8"/>
        <v>43844417.106146947</v>
      </c>
      <c r="Y8" s="156">
        <f t="shared" si="9"/>
        <v>39555422.28419099</v>
      </c>
      <c r="Z8" s="156">
        <f t="shared" si="10"/>
        <v>35685990.038200624</v>
      </c>
      <c r="AA8" s="136">
        <f t="shared" si="11"/>
        <v>-7.3367291180522598E-2</v>
      </c>
    </row>
    <row r="9" spans="1:27" s="99" customFormat="1" ht="14.25">
      <c r="A9" s="159">
        <v>5</v>
      </c>
      <c r="B9" s="155" t="s">
        <v>10</v>
      </c>
      <c r="C9" s="156">
        <f>Projecção!G106</f>
        <v>15848.664784615401</v>
      </c>
      <c r="D9" s="157">
        <f>Projecção!K9</f>
        <v>348979.20000000001</v>
      </c>
      <c r="E9" s="157">
        <f>Projecção!L9</f>
        <v>342955.82764423924</v>
      </c>
      <c r="F9" s="157">
        <f>Projecção!M9</f>
        <v>342955.82764423924</v>
      </c>
      <c r="G9" s="157">
        <f>Projecção!N9</f>
        <v>337036.41854627762</v>
      </c>
      <c r="H9" s="157">
        <f>Projecção!O9</f>
        <v>331219.17830285832</v>
      </c>
      <c r="I9" s="135">
        <f t="shared" si="3"/>
        <v>-1.2944981439640485E-2</v>
      </c>
      <c r="J9" s="156">
        <f t="shared" si="4"/>
        <v>5530854357.6032553</v>
      </c>
      <c r="K9" s="156">
        <f t="shared" si="0"/>
        <v>5435391948.2638836</v>
      </c>
      <c r="L9" s="156">
        <f t="shared" si="0"/>
        <v>5435391948.2638836</v>
      </c>
      <c r="M9" s="156">
        <f t="shared" si="0"/>
        <v>5341577217.7472868</v>
      </c>
      <c r="N9" s="156">
        <f t="shared" si="0"/>
        <v>5249381727.1577597</v>
      </c>
      <c r="O9" s="138">
        <f t="shared" si="1"/>
        <v>-1.2944981439640513E-2</v>
      </c>
      <c r="P9" s="156">
        <f>Projecção!K57*'Custos de Produção'!$I$11</f>
        <v>4797512238.545454</v>
      </c>
      <c r="Q9" s="156">
        <f>Projecção!L57*'Custos de Produção'!$I$11</f>
        <v>4516148710.7075605</v>
      </c>
      <c r="R9" s="156">
        <f>Projecção!M57*'Custos de Produção'!$I$11</f>
        <v>4251286534.1661439</v>
      </c>
      <c r="S9" s="156">
        <f>Projecção!N57*'Custos de Produção'!$I$11</f>
        <v>4001957941.0064983</v>
      </c>
      <c r="T9" s="156">
        <f>Projecção!O57*'Custos de Produção'!$I$11</f>
        <v>3767251920.7709246</v>
      </c>
      <c r="U9" s="138">
        <f t="shared" si="5"/>
        <v>-5.8647797826816894E-2</v>
      </c>
      <c r="V9" s="156">
        <f t="shared" si="6"/>
        <v>733342119.05780125</v>
      </c>
      <c r="W9" s="156">
        <f t="shared" si="7"/>
        <v>919243237.55632305</v>
      </c>
      <c r="X9" s="156">
        <f t="shared" si="8"/>
        <v>1184105414.0977397</v>
      </c>
      <c r="Y9" s="156">
        <f t="shared" si="9"/>
        <v>1339619276.7407885</v>
      </c>
      <c r="Z9" s="156">
        <f t="shared" si="10"/>
        <v>1482129806.3868351</v>
      </c>
      <c r="AA9" s="138">
        <f t="shared" si="11"/>
        <v>0.19483625173625291</v>
      </c>
    </row>
    <row r="10" spans="1:27" s="99" customFormat="1" ht="15">
      <c r="A10" s="160"/>
      <c r="B10" s="161" t="s">
        <v>118</v>
      </c>
      <c r="C10" s="162"/>
      <c r="D10" s="163">
        <f>SUM(D5:D9)</f>
        <v>2723058.5045501571</v>
      </c>
      <c r="E10" s="163">
        <f t="shared" ref="E10:H10" si="12">SUM(E5:E9)</f>
        <v>2799290.8590489118</v>
      </c>
      <c r="F10" s="163">
        <f t="shared" si="12"/>
        <v>2799290.8590489118</v>
      </c>
      <c r="G10" s="163">
        <f t="shared" si="12"/>
        <v>2878691.7634370807</v>
      </c>
      <c r="H10" s="163">
        <f t="shared" si="12"/>
        <v>2961352.3773167925</v>
      </c>
      <c r="I10" s="128">
        <f t="shared" si="3"/>
        <v>2.1268604262161317E-2</v>
      </c>
      <c r="J10" s="164">
        <f>SUM(J5:J9)</f>
        <v>35027649561.474655</v>
      </c>
      <c r="K10" s="164">
        <f t="shared" ref="K10:M10" si="13">SUM(K5:K9)</f>
        <v>35958949756.275543</v>
      </c>
      <c r="L10" s="164">
        <f t="shared" si="13"/>
        <v>35958949756.275543</v>
      </c>
      <c r="M10" s="164">
        <f t="shared" si="13"/>
        <v>36929795628.367935</v>
      </c>
      <c r="N10" s="164">
        <f t="shared" ref="N10" si="14">SUM(N5:N9)</f>
        <v>37941346092.719894</v>
      </c>
      <c r="O10" s="129">
        <f t="shared" si="1"/>
        <v>2.0244368610940366E-2</v>
      </c>
      <c r="P10" s="165">
        <f>SUM(P5:P9)</f>
        <v>28617353735.509621</v>
      </c>
      <c r="Q10" s="165">
        <f>SUM(Q5:Q9)</f>
        <v>27964178596.07922</v>
      </c>
      <c r="R10" s="165">
        <f>SUM(R5:R9)</f>
        <v>27340998109.920589</v>
      </c>
      <c r="S10" s="165">
        <f>SUM(S5:S9)</f>
        <v>26733281378.124329</v>
      </c>
      <c r="T10" s="165">
        <f>SUM(T5:T9)</f>
        <v>26147012611.265366</v>
      </c>
      <c r="U10" s="129">
        <f t="shared" si="5"/>
        <v>-2.2316749987575907E-2</v>
      </c>
      <c r="V10" s="165">
        <f t="shared" ref="V10:V23" si="15">+J10-P10</f>
        <v>6410295825.9650345</v>
      </c>
      <c r="W10" s="165">
        <f t="shared" si="7"/>
        <v>7994771160.1963234</v>
      </c>
      <c r="X10" s="165">
        <f t="shared" si="8"/>
        <v>8617951646.3549538</v>
      </c>
      <c r="Y10" s="165">
        <f t="shared" si="9"/>
        <v>10196514250.243607</v>
      </c>
      <c r="Z10" s="165">
        <f t="shared" si="10"/>
        <v>11794333481.454529</v>
      </c>
      <c r="AA10" s="129">
        <f t="shared" si="11"/>
        <v>0.16624976882941728</v>
      </c>
    </row>
    <row r="11" spans="1:27" s="99" customFormat="1" ht="15.75">
      <c r="A11" s="159">
        <v>6</v>
      </c>
      <c r="B11" s="166" t="s">
        <v>119</v>
      </c>
      <c r="C11" s="167">
        <f>Projecção!G108</f>
        <v>26310</v>
      </c>
      <c r="D11" s="157">
        <f>Projecção!K11</f>
        <v>495759.34746098629</v>
      </c>
      <c r="E11" s="157">
        <f>Projecção!L11</f>
        <v>509699.98049552663</v>
      </c>
      <c r="F11" s="157">
        <f>Projecção!M11</f>
        <v>509699.98049552663</v>
      </c>
      <c r="G11" s="157">
        <f>Projecção!N11</f>
        <v>524032.62076179951</v>
      </c>
      <c r="H11" s="157">
        <f>Projecção!O11</f>
        <v>538768.29140842019</v>
      </c>
      <c r="I11" s="135">
        <f t="shared" si="3"/>
        <v>2.1089818738572574E-2</v>
      </c>
      <c r="J11" s="156">
        <f t="shared" ref="J11:J13" si="16">+D11*$C11</f>
        <v>13043428431.698549</v>
      </c>
      <c r="K11" s="156">
        <f t="shared" ref="K11:K13" si="17">+E11*$C11</f>
        <v>13410206486.837305</v>
      </c>
      <c r="L11" s="156">
        <f t="shared" ref="L11:L13" si="18">+F11*$C11</f>
        <v>13410206486.837305</v>
      </c>
      <c r="M11" s="156">
        <f t="shared" ref="M11:N13" si="19">+G11*$C11</f>
        <v>13787298252.242945</v>
      </c>
      <c r="N11" s="156">
        <f t="shared" si="19"/>
        <v>14174993746.955536</v>
      </c>
      <c r="O11" s="138">
        <f t="shared" si="1"/>
        <v>2.108981873857263E-2</v>
      </c>
      <c r="P11" s="156">
        <f>Projecção!K59*'Custos de Produção'!$I$13</f>
        <v>12077881200</v>
      </c>
      <c r="Q11" s="156">
        <f>Projecção!L59*'Custos de Produção'!$I$13</f>
        <v>12119881451.166332</v>
      </c>
      <c r="R11" s="156">
        <f>Projecção!M59*'Custos de Produção'!$I$13</f>
        <v>12162027756.186718</v>
      </c>
      <c r="S11" s="156">
        <f>Projecção!N59*'Custos de Produção'!$I$13</f>
        <v>12204320622.956408</v>
      </c>
      <c r="T11" s="156">
        <f>Projecção!O59*'Custos de Produção'!$I$13</f>
        <v>12246760561.136841</v>
      </c>
      <c r="U11" s="138">
        <f t="shared" si="5"/>
        <v>3.4774519198229048E-3</v>
      </c>
      <c r="V11" s="156">
        <f t="shared" si="15"/>
        <v>965547231.69854927</v>
      </c>
      <c r="W11" s="156">
        <f t="shared" ref="W11:W14" si="20">+K11-Q11</f>
        <v>1290325035.6709728</v>
      </c>
      <c r="X11" s="156">
        <f t="shared" ref="X11:X14" si="21">+L11-R11</f>
        <v>1248178730.6505871</v>
      </c>
      <c r="Y11" s="156">
        <f t="shared" ref="Y11:Y14" si="22">+M11-S11</f>
        <v>1582977629.2865372</v>
      </c>
      <c r="Z11" s="156">
        <f t="shared" ref="Z11:Z13" si="23">+N11-T11</f>
        <v>1928233185.8186951</v>
      </c>
      <c r="AA11" s="138">
        <f t="shared" si="11"/>
        <v>0.19750957812236011</v>
      </c>
    </row>
    <row r="12" spans="1:27" s="99" customFormat="1" ht="14.25">
      <c r="A12" s="159">
        <v>7</v>
      </c>
      <c r="B12" s="168" t="s">
        <v>16</v>
      </c>
      <c r="C12" s="167">
        <f>Projecção!G109</f>
        <v>25752</v>
      </c>
      <c r="D12" s="157">
        <f>Projecção!K12</f>
        <v>48874.350726769379</v>
      </c>
      <c r="E12" s="157">
        <f>Projecção!L12</f>
        <v>49251.590906459016</v>
      </c>
      <c r="F12" s="157">
        <f>Projecção!M12</f>
        <v>49251.590906459016</v>
      </c>
      <c r="G12" s="157">
        <f>Projecção!N12</f>
        <v>49631.742841518419</v>
      </c>
      <c r="H12" s="157">
        <f>Projecção!O12</f>
        <v>50014.829006540138</v>
      </c>
      <c r="I12" s="135">
        <f t="shared" si="3"/>
        <v>5.7889287644748988E-3</v>
      </c>
      <c r="J12" s="156">
        <f t="shared" si="16"/>
        <v>1258612279.915765</v>
      </c>
      <c r="K12" s="156">
        <f t="shared" si="17"/>
        <v>1268326969.0231326</v>
      </c>
      <c r="L12" s="156">
        <f t="shared" si="18"/>
        <v>1268326969.0231326</v>
      </c>
      <c r="M12" s="156">
        <f t="shared" si="19"/>
        <v>1278116641.6547823</v>
      </c>
      <c r="N12" s="156">
        <f t="shared" si="19"/>
        <v>1287981876.5764217</v>
      </c>
      <c r="O12" s="138">
        <f t="shared" si="1"/>
        <v>5.7889287644748988E-3</v>
      </c>
      <c r="P12" s="156">
        <f>Projecção!K60*'Custos de Produção'!$I$15</f>
        <v>862112160</v>
      </c>
      <c r="Q12" s="156">
        <f>Projecção!L60*'Custos de Produção'!$I$15</f>
        <v>870733281.60000002</v>
      </c>
      <c r="R12" s="156">
        <f>Projecção!M60*'Custos de Produção'!$I$15</f>
        <v>879440614.41600013</v>
      </c>
      <c r="S12" s="156">
        <f>Projecção!N60*'Custos de Produção'!$I$15</f>
        <v>888235020.56016016</v>
      </c>
      <c r="T12" s="156">
        <f>Projecção!O60*'Custos de Produção'!$I$15</f>
        <v>897117370.76576173</v>
      </c>
      <c r="U12" s="138">
        <f t="shared" si="5"/>
        <v>1.0000000000000009E-2</v>
      </c>
      <c r="V12" s="156">
        <f t="shared" si="15"/>
        <v>396500119.91576505</v>
      </c>
      <c r="W12" s="156">
        <f t="shared" si="20"/>
        <v>397593687.42313254</v>
      </c>
      <c r="X12" s="156">
        <f t="shared" si="21"/>
        <v>388886354.60713243</v>
      </c>
      <c r="Y12" s="156">
        <f t="shared" si="22"/>
        <v>389881621.09462214</v>
      </c>
      <c r="Z12" s="156">
        <f t="shared" si="23"/>
        <v>390864505.81066</v>
      </c>
      <c r="AA12" s="138">
        <f t="shared" si="11"/>
        <v>-3.5154428619639522E-3</v>
      </c>
    </row>
    <row r="13" spans="1:27" s="99" customFormat="1" ht="14.25">
      <c r="A13" s="159">
        <v>8</v>
      </c>
      <c r="B13" s="155" t="s">
        <v>12</v>
      </c>
      <c r="C13" s="167">
        <f>Projecção!G110</f>
        <v>30000</v>
      </c>
      <c r="D13" s="157">
        <f>Projecção!K13</f>
        <v>367008.06520987174</v>
      </c>
      <c r="E13" s="157">
        <f>Projecção!L13</f>
        <v>392353.39332680881</v>
      </c>
      <c r="F13" s="157">
        <f>Projecção!M13</f>
        <v>392353.39332680881</v>
      </c>
      <c r="G13" s="157">
        <f>Projecção!N13</f>
        <v>419449.0526169528</v>
      </c>
      <c r="H13" s="157">
        <f>Projecção!O13</f>
        <v>448415.91976423399</v>
      </c>
      <c r="I13" s="135">
        <f t="shared" si="3"/>
        <v>5.1794491428499234E-2</v>
      </c>
      <c r="J13" s="156">
        <f t="shared" si="16"/>
        <v>11010241956.296152</v>
      </c>
      <c r="K13" s="156">
        <f t="shared" si="17"/>
        <v>11770601799.804264</v>
      </c>
      <c r="L13" s="156">
        <f t="shared" si="18"/>
        <v>11770601799.804264</v>
      </c>
      <c r="M13" s="156">
        <f t="shared" si="19"/>
        <v>12583471578.508585</v>
      </c>
      <c r="N13" s="156">
        <f t="shared" si="19"/>
        <v>13452477592.927019</v>
      </c>
      <c r="O13" s="138">
        <f t="shared" si="1"/>
        <v>5.1794491428499234E-2</v>
      </c>
      <c r="P13" s="156">
        <f>Projecção!K61*'Custos de Produção'!$I$17</f>
        <v>6478603425</v>
      </c>
      <c r="Q13" s="156">
        <f>Projecção!L61*'Custos de Produção'!$I$17</f>
        <v>6642617164.3307838</v>
      </c>
      <c r="R13" s="156">
        <f>Projecção!M61*'Custos de Produção'!$I$17</f>
        <v>6810783111.3095093</v>
      </c>
      <c r="S13" s="156">
        <f>Projecção!N61*'Custos de Produção'!$I$17</f>
        <v>6983206384.1318951</v>
      </c>
      <c r="T13" s="156">
        <f>Projecção!O61*'Custos de Produção'!$I$17</f>
        <v>7159994762.1888638</v>
      </c>
      <c r="U13" s="138">
        <f t="shared" si="5"/>
        <v>2.5316218414894509E-2</v>
      </c>
      <c r="V13" s="156">
        <f t="shared" si="15"/>
        <v>4531638531.2961521</v>
      </c>
      <c r="W13" s="156">
        <f t="shared" si="20"/>
        <v>5127984635.4734802</v>
      </c>
      <c r="X13" s="156">
        <f t="shared" si="21"/>
        <v>4959818688.4947548</v>
      </c>
      <c r="Y13" s="156">
        <f t="shared" si="22"/>
        <v>5600265194.3766899</v>
      </c>
      <c r="Z13" s="156">
        <f t="shared" si="23"/>
        <v>6292482830.7381554</v>
      </c>
      <c r="AA13" s="138">
        <f t="shared" si="11"/>
        <v>8.7883450283675502E-2</v>
      </c>
    </row>
    <row r="14" spans="1:27" ht="15">
      <c r="A14" s="160"/>
      <c r="B14" s="161" t="s">
        <v>120</v>
      </c>
      <c r="C14" s="162"/>
      <c r="D14" s="163">
        <f>SUM(D11:D13)</f>
        <v>911641.76339762739</v>
      </c>
      <c r="E14" s="163">
        <f>SUM(E11:E13)</f>
        <v>951304.96472879441</v>
      </c>
      <c r="F14" s="163">
        <f t="shared" ref="F14:H14" si="24">SUM(F11:F13)</f>
        <v>951304.96472879441</v>
      </c>
      <c r="G14" s="163">
        <f t="shared" si="24"/>
        <v>993113.41622027068</v>
      </c>
      <c r="H14" s="163">
        <f t="shared" si="24"/>
        <v>1037199.0401791943</v>
      </c>
      <c r="I14" s="128">
        <f t="shared" si="3"/>
        <v>3.2961824326756872E-2</v>
      </c>
      <c r="J14" s="164">
        <f>SUM(J11:J13)</f>
        <v>25312282667.910469</v>
      </c>
      <c r="K14" s="164">
        <f t="shared" ref="K14:M14" si="25">SUM(K11:K13)</f>
        <v>26449135255.664703</v>
      </c>
      <c r="L14" s="164">
        <f t="shared" si="25"/>
        <v>26449135255.664703</v>
      </c>
      <c r="M14" s="164">
        <f t="shared" si="25"/>
        <v>27648886472.406311</v>
      </c>
      <c r="N14" s="164">
        <f t="shared" ref="N14" si="26">SUM(N11:N13)</f>
        <v>28915453216.458977</v>
      </c>
      <c r="O14" s="129">
        <f t="shared" si="1"/>
        <v>3.402068450984197E-2</v>
      </c>
      <c r="P14" s="165">
        <f>SUM(P11:P13)</f>
        <v>19418596785</v>
      </c>
      <c r="Q14" s="165">
        <f t="shared" ref="Q14:S14" si="27">SUM(Q11:Q13)</f>
        <v>19633231897.097115</v>
      </c>
      <c r="R14" s="165">
        <f t="shared" si="27"/>
        <v>19852251481.912228</v>
      </c>
      <c r="S14" s="165">
        <f t="shared" si="27"/>
        <v>20075762027.64846</v>
      </c>
      <c r="T14" s="165">
        <f>SUM(T11:T13)</f>
        <v>20303872694.091469</v>
      </c>
      <c r="U14" s="129">
        <f t="shared" si="5"/>
        <v>1.1207453899848285E-2</v>
      </c>
      <c r="V14" s="165">
        <f t="shared" si="15"/>
        <v>5893685882.9104691</v>
      </c>
      <c r="W14" s="165">
        <f t="shared" si="20"/>
        <v>6815903358.5675888</v>
      </c>
      <c r="X14" s="165">
        <f t="shared" si="21"/>
        <v>6596883773.7524757</v>
      </c>
      <c r="Y14" s="165">
        <f t="shared" si="22"/>
        <v>7573124444.7578506</v>
      </c>
      <c r="Z14" s="165">
        <f t="shared" ref="Z14:Z23" si="28">+N14-T14</f>
        <v>8611580522.3675079</v>
      </c>
      <c r="AA14" s="129">
        <f t="shared" si="11"/>
        <v>0.10236272062214169</v>
      </c>
    </row>
    <row r="15" spans="1:27" s="99" customFormat="1" ht="14.25">
      <c r="A15" s="159">
        <v>9</v>
      </c>
      <c r="B15" s="169" t="s">
        <v>13</v>
      </c>
      <c r="C15" s="167">
        <f>Projecção!G112</f>
        <v>4577</v>
      </c>
      <c r="D15" s="157">
        <f>Projecção!K15</f>
        <v>14774700</v>
      </c>
      <c r="E15" s="157">
        <f>Projecção!L15</f>
        <v>15070194</v>
      </c>
      <c r="F15" s="157">
        <f>Projecção!M15</f>
        <v>15371597.880000001</v>
      </c>
      <c r="G15" s="157">
        <f>Projecção!N15</f>
        <v>15525313.858800001</v>
      </c>
      <c r="H15" s="157">
        <f>Projecção!O15</f>
        <v>15680566.997388002</v>
      </c>
      <c r="I15" s="135">
        <f t="shared" si="3"/>
        <v>1.5000000000000013E-2</v>
      </c>
      <c r="J15" s="156">
        <f t="shared" ref="J15:J16" si="29">+D15*$C15</f>
        <v>67623801900</v>
      </c>
      <c r="K15" s="156">
        <f t="shared" ref="K15:K16" si="30">+E15*$C15</f>
        <v>68976277938</v>
      </c>
      <c r="L15" s="156">
        <f t="shared" ref="L15:L16" si="31">+F15*$C15</f>
        <v>70355803496.76001</v>
      </c>
      <c r="M15" s="156">
        <f t="shared" ref="M15:N16" si="32">+G15*$C15</f>
        <v>71059361531.7276</v>
      </c>
      <c r="N15" s="156">
        <f t="shared" si="32"/>
        <v>71769955147.044876</v>
      </c>
      <c r="O15" s="138">
        <f t="shared" si="1"/>
        <v>1.5000000000000013E-2</v>
      </c>
      <c r="P15" s="156">
        <f>Projecção!K63*'Custos de Produção'!$I$18</f>
        <v>15393126728.571428</v>
      </c>
      <c r="Q15" s="156">
        <f>Projecção!L63*'Custos de Produção'!$I$18</f>
        <v>15973415872.646675</v>
      </c>
      <c r="R15" s="156">
        <f>Projecção!M63*'Custos de Produção'!$I$18</f>
        <v>16575580721.162561</v>
      </c>
      <c r="S15" s="156">
        <f>Projecção!N63*'Custos de Produção'!$I$18</f>
        <v>17200445943.078796</v>
      </c>
      <c r="T15" s="156">
        <f>Projecção!O63*'Custos de Produção'!$I$18</f>
        <v>17848867295.674786</v>
      </c>
      <c r="U15" s="138">
        <f t="shared" si="5"/>
        <v>3.7697938457049163E-2</v>
      </c>
      <c r="V15" s="156">
        <f t="shared" si="15"/>
        <v>52230675171.428574</v>
      </c>
      <c r="W15" s="156">
        <f t="shared" ref="W15:W17" si="33">+K15-Q15</f>
        <v>53002862065.353325</v>
      </c>
      <c r="X15" s="156">
        <f t="shared" ref="X15:X17" si="34">+L15-R15</f>
        <v>53780222775.59745</v>
      </c>
      <c r="Y15" s="156">
        <f t="shared" ref="Y15:Y17" si="35">+M15-S15</f>
        <v>53858915588.648804</v>
      </c>
      <c r="Z15" s="156">
        <f t="shared" si="28"/>
        <v>53921087851.370087</v>
      </c>
      <c r="AA15" s="138">
        <f t="shared" si="11"/>
        <v>8.0170348621328991E-3</v>
      </c>
    </row>
    <row r="16" spans="1:27" s="99" customFormat="1" ht="14.25">
      <c r="A16" s="159">
        <v>10</v>
      </c>
      <c r="B16" s="169" t="s">
        <v>14</v>
      </c>
      <c r="C16" s="167">
        <f>Projecção!G113</f>
        <v>11709</v>
      </c>
      <c r="D16" s="157">
        <f>Projecção!K16</f>
        <v>2484720</v>
      </c>
      <c r="E16" s="157">
        <f>Projecção!L16</f>
        <v>2534414.4</v>
      </c>
      <c r="F16" s="157">
        <f>Projecção!M16</f>
        <v>2585102.6880000001</v>
      </c>
      <c r="G16" s="157">
        <f>Projecção!N16</f>
        <v>2610953.7148799999</v>
      </c>
      <c r="H16" s="157">
        <f>Projecção!O16</f>
        <v>2637063.2520288001</v>
      </c>
      <c r="I16" s="135">
        <f t="shared" si="3"/>
        <v>1.5000000000000013E-2</v>
      </c>
      <c r="J16" s="156">
        <f t="shared" si="29"/>
        <v>29093586480</v>
      </c>
      <c r="K16" s="156">
        <f t="shared" si="30"/>
        <v>29675458209.599998</v>
      </c>
      <c r="L16" s="156">
        <f t="shared" si="31"/>
        <v>30268967373.792</v>
      </c>
      <c r="M16" s="156">
        <f t="shared" si="32"/>
        <v>30571657047.529919</v>
      </c>
      <c r="N16" s="156">
        <f t="shared" si="32"/>
        <v>30877373618.005219</v>
      </c>
      <c r="O16" s="138">
        <f t="shared" si="1"/>
        <v>1.5000000000000013E-2</v>
      </c>
      <c r="P16" s="156">
        <f>Projecção!K64*'Custos de Produção'!$I$19</f>
        <v>3416490000.0000005</v>
      </c>
      <c r="Q16" s="156">
        <f>Projecção!L64*'Custos de Produção'!$I$19</f>
        <v>3640068768.0082731</v>
      </c>
      <c r="R16" s="156">
        <f>Projecção!M64*'Custos de Produção'!$I$19</f>
        <v>3878278770.2669306</v>
      </c>
      <c r="S16" s="156">
        <f>Projecção!N64*'Custos de Produção'!$I$19</f>
        <v>4132077490.4297061</v>
      </c>
      <c r="T16" s="156">
        <f>Projecção!O64*'Custos de Produção'!$I$19</f>
        <v>4402485070.9070349</v>
      </c>
      <c r="U16" s="138">
        <f t="shared" si="5"/>
        <v>6.5441071979801757E-2</v>
      </c>
      <c r="V16" s="156">
        <f t="shared" si="15"/>
        <v>25677096480</v>
      </c>
      <c r="W16" s="156">
        <f t="shared" si="33"/>
        <v>26035389441.591724</v>
      </c>
      <c r="X16" s="156">
        <f t="shared" si="34"/>
        <v>26390688603.52507</v>
      </c>
      <c r="Y16" s="156">
        <f t="shared" si="35"/>
        <v>26439579557.100212</v>
      </c>
      <c r="Z16" s="156">
        <f t="shared" si="28"/>
        <v>26474888547.098183</v>
      </c>
      <c r="AA16" s="138">
        <f t="shared" si="11"/>
        <v>7.6971540487864032E-3</v>
      </c>
    </row>
    <row r="17" spans="1:28" ht="30">
      <c r="A17" s="170"/>
      <c r="B17" s="171" t="s">
        <v>121</v>
      </c>
      <c r="C17" s="172"/>
      <c r="D17" s="161">
        <f>SUM(D15:D16)</f>
        <v>17259420</v>
      </c>
      <c r="E17" s="161">
        <f>SUM(E15:E16)</f>
        <v>17604608.399999999</v>
      </c>
      <c r="F17" s="161">
        <f t="shared" ref="F17:H17" si="36">SUM(F15:F16)</f>
        <v>17956700.568</v>
      </c>
      <c r="G17" s="161">
        <f t="shared" si="36"/>
        <v>18136267.573680002</v>
      </c>
      <c r="H17" s="161">
        <f t="shared" si="36"/>
        <v>18317630.249416802</v>
      </c>
      <c r="I17" s="130">
        <f t="shared" si="3"/>
        <v>1.5000000000000069E-2</v>
      </c>
      <c r="J17" s="173">
        <f>SUM(J15:J16)</f>
        <v>96717388380</v>
      </c>
      <c r="K17" s="173">
        <f t="shared" ref="K17:M17" si="37">SUM(K15:K16)</f>
        <v>98651736147.600006</v>
      </c>
      <c r="L17" s="173">
        <f t="shared" si="37"/>
        <v>100624770870.552</v>
      </c>
      <c r="M17" s="173">
        <f t="shared" si="37"/>
        <v>101631018579.25752</v>
      </c>
      <c r="N17" s="173">
        <f t="shared" ref="N17" si="38">SUM(N15:N16)</f>
        <v>102647328765.05009</v>
      </c>
      <c r="O17" s="130">
        <f t="shared" si="1"/>
        <v>1.5000000000000013E-2</v>
      </c>
      <c r="P17" s="172">
        <f>SUM(P15:P16)</f>
        <v>18809616728.57143</v>
      </c>
      <c r="Q17" s="172">
        <f t="shared" ref="Q17:T17" si="39">SUM(Q15:Q16)</f>
        <v>19613484640.654949</v>
      </c>
      <c r="R17" s="172">
        <f t="shared" si="39"/>
        <v>20453859491.429493</v>
      </c>
      <c r="S17" s="172">
        <f t="shared" si="39"/>
        <v>21332523433.508503</v>
      </c>
      <c r="T17" s="172">
        <f t="shared" si="39"/>
        <v>22251352366.581821</v>
      </c>
      <c r="U17" s="130">
        <f t="shared" si="5"/>
        <v>4.2903486458790219E-2</v>
      </c>
      <c r="V17" s="172">
        <f t="shared" si="15"/>
        <v>77907771651.428574</v>
      </c>
      <c r="W17" s="172">
        <f t="shared" si="33"/>
        <v>79038251506.945053</v>
      </c>
      <c r="X17" s="172">
        <f t="shared" si="34"/>
        <v>80170911379.122513</v>
      </c>
      <c r="Y17" s="172">
        <f t="shared" si="35"/>
        <v>80298495145.749023</v>
      </c>
      <c r="Z17" s="172">
        <f t="shared" si="28"/>
        <v>80395976398.468277</v>
      </c>
      <c r="AA17" s="130">
        <f t="shared" si="11"/>
        <v>7.9116000315049284E-3</v>
      </c>
      <c r="AB17" s="100"/>
    </row>
    <row r="18" spans="1:28" s="99" customFormat="1" ht="14.25">
      <c r="A18" s="159">
        <v>11</v>
      </c>
      <c r="B18" s="168" t="s">
        <v>15</v>
      </c>
      <c r="C18" s="167">
        <f>Projecção!G115</f>
        <v>56529</v>
      </c>
      <c r="D18" s="157">
        <f>Projecção!K18</f>
        <v>118402</v>
      </c>
      <c r="E18" s="157">
        <f>Projecção!L18</f>
        <v>125506.12</v>
      </c>
      <c r="F18" s="157">
        <f>Projecção!M18</f>
        <v>133036.4872</v>
      </c>
      <c r="G18" s="157">
        <f>Projecção!N18</f>
        <v>141018.67643200001</v>
      </c>
      <c r="H18" s="157">
        <f>Projecção!O18</f>
        <v>149479.79701792001</v>
      </c>
      <c r="I18" s="135">
        <f t="shared" si="3"/>
        <v>6.0000000000000053E-2</v>
      </c>
      <c r="J18" s="156">
        <f t="shared" ref="J18:J19" si="40">+D18*$C18</f>
        <v>6693146658</v>
      </c>
      <c r="K18" s="156">
        <f t="shared" ref="K18:K19" si="41">+E18*$C18</f>
        <v>7094735457.4799995</v>
      </c>
      <c r="L18" s="156">
        <f t="shared" ref="L18:L19" si="42">+F18*$C18</f>
        <v>7520419584.9288006</v>
      </c>
      <c r="M18" s="156">
        <f t="shared" ref="M18:N19" si="43">+G18*$C18</f>
        <v>7971644760.0245285</v>
      </c>
      <c r="N18" s="156">
        <f t="shared" si="43"/>
        <v>8449943445.6260004</v>
      </c>
      <c r="O18" s="138">
        <f t="shared" si="1"/>
        <v>0.06</v>
      </c>
      <c r="P18" s="156">
        <f>Projecção!K66*'Custos de Produção'!$I$20</f>
        <v>3363011473.3333335</v>
      </c>
      <c r="Q18" s="156">
        <f>Projecção!L66*'Custos de Produção'!$I$20</f>
        <v>3710303573.2915931</v>
      </c>
      <c r="R18" s="156">
        <f>Projecção!M66*'Custos de Produção'!$I$20</f>
        <v>4093459899.0040002</v>
      </c>
      <c r="S18" s="156">
        <f>Projecção!N66*'Custos de Produção'!$I$20</f>
        <v>4516184084.066308</v>
      </c>
      <c r="T18" s="156">
        <f>Projecção!O66*'Custos de Produção'!$I$20</f>
        <v>4982562229.603487</v>
      </c>
      <c r="U18" s="138">
        <f t="shared" si="5"/>
        <v>0.10326818766812951</v>
      </c>
      <c r="V18" s="156">
        <f t="shared" si="15"/>
        <v>3330135184.6666665</v>
      </c>
      <c r="W18" s="156">
        <f t="shared" ref="W18:W20" si="44">+K18-Q18</f>
        <v>3384431884.1884065</v>
      </c>
      <c r="X18" s="156">
        <f t="shared" ref="X18:X20" si="45">+L18-R18</f>
        <v>3426959685.9248004</v>
      </c>
      <c r="Y18" s="156">
        <f t="shared" ref="Y18:Y20" si="46">+M18-S18</f>
        <v>3455460675.9582205</v>
      </c>
      <c r="Z18" s="156">
        <f t="shared" si="28"/>
        <v>3467381216.0225134</v>
      </c>
      <c r="AA18" s="138">
        <f t="shared" si="11"/>
        <v>1.0159208481641091E-2</v>
      </c>
    </row>
    <row r="19" spans="1:28" s="99" customFormat="1" ht="14.25">
      <c r="A19" s="159">
        <v>12</v>
      </c>
      <c r="B19" s="168" t="s">
        <v>17</v>
      </c>
      <c r="C19" s="167">
        <f>Projecção!G116</f>
        <v>18378.967499999999</v>
      </c>
      <c r="D19" s="157">
        <f>Projecção!K19</f>
        <v>14929.995894867732</v>
      </c>
      <c r="E19" s="157">
        <f>Projecção!L19</f>
        <v>14288.767783382522</v>
      </c>
      <c r="F19" s="157">
        <f>Projecção!M19</f>
        <v>14288.767783382522</v>
      </c>
      <c r="G19" s="157">
        <f>Projecção!N19</f>
        <v>13675.079765937138</v>
      </c>
      <c r="H19" s="157">
        <f>Projecção!O19</f>
        <v>13087.749023553222</v>
      </c>
      <c r="I19" s="135">
        <f t="shared" si="3"/>
        <v>-3.2211735823666737E-2</v>
      </c>
      <c r="J19" s="156">
        <f t="shared" si="40"/>
        <v>274397909.32690746</v>
      </c>
      <c r="K19" s="156">
        <f t="shared" si="41"/>
        <v>262612798.70583439</v>
      </c>
      <c r="L19" s="156">
        <f t="shared" si="42"/>
        <v>262612798.70583439</v>
      </c>
      <c r="M19" s="156">
        <f t="shared" si="43"/>
        <v>251333846.57806626</v>
      </c>
      <c r="N19" s="156">
        <f t="shared" si="43"/>
        <v>240539313.95204139</v>
      </c>
      <c r="O19" s="138">
        <f t="shared" si="1"/>
        <v>-3.2211735823666737E-2</v>
      </c>
      <c r="P19" s="156">
        <f>Projecção!K67*'Custos de Produção'!$I$22</f>
        <v>230775079.40352699</v>
      </c>
      <c r="Q19" s="156">
        <f>Projecção!L67*'Custos de Produção'!$I$22</f>
        <v>220863524.88028416</v>
      </c>
      <c r="R19" s="156">
        <f>Projecção!M67*'Custos de Produção'!$I$22</f>
        <v>220863524.88028416</v>
      </c>
      <c r="S19" s="156">
        <f>Projecção!N67*'Custos de Produção'!$I$22</f>
        <v>211377661.52491406</v>
      </c>
      <c r="T19" s="156">
        <f>Projecção!O67*'Custos de Produção'!$I$22</f>
        <v>202299206.3354941</v>
      </c>
      <c r="U19" s="138">
        <f t="shared" si="5"/>
        <v>-3.2211735823666737E-2</v>
      </c>
      <c r="V19" s="156">
        <f t="shared" si="15"/>
        <v>43622829.923380464</v>
      </c>
      <c r="W19" s="156">
        <f t="shared" si="44"/>
        <v>41749273.825550228</v>
      </c>
      <c r="X19" s="156">
        <f t="shared" si="45"/>
        <v>41749273.825550228</v>
      </c>
      <c r="Y19" s="156">
        <f t="shared" si="46"/>
        <v>39956185.053152204</v>
      </c>
      <c r="Z19" s="156">
        <f t="shared" si="28"/>
        <v>38240107.616547287</v>
      </c>
      <c r="AA19" s="138">
        <f t="shared" si="11"/>
        <v>-3.2211735823666543E-2</v>
      </c>
    </row>
    <row r="20" spans="1:28" ht="15">
      <c r="A20" s="160"/>
      <c r="B20" s="163" t="s">
        <v>122</v>
      </c>
      <c r="C20" s="162"/>
      <c r="D20" s="163">
        <f>SUM(D18:D19)</f>
        <v>133331.99589486772</v>
      </c>
      <c r="E20" s="163">
        <f>SUM(E18:E19)</f>
        <v>139794.88778338252</v>
      </c>
      <c r="F20" s="163">
        <f t="shared" ref="F20:H20" si="47">SUM(F18:F19)</f>
        <v>147325.25498338253</v>
      </c>
      <c r="G20" s="163">
        <f t="shared" si="47"/>
        <v>154693.75619793715</v>
      </c>
      <c r="H20" s="163">
        <f t="shared" si="47"/>
        <v>162567.54604147322</v>
      </c>
      <c r="I20" s="131">
        <f t="shared" si="3"/>
        <v>5.0813458973200776E-2</v>
      </c>
      <c r="J20" s="164">
        <f>J18+J19</f>
        <v>6967544567.3269072</v>
      </c>
      <c r="K20" s="164">
        <f t="shared" ref="K20:M20" si="48">K18+K19</f>
        <v>7357348256.1858339</v>
      </c>
      <c r="L20" s="164">
        <f t="shared" si="48"/>
        <v>7783032383.634635</v>
      </c>
      <c r="M20" s="164">
        <f t="shared" si="48"/>
        <v>8222978606.6025944</v>
      </c>
      <c r="N20" s="164">
        <f t="shared" ref="N20" si="49">N18+N19</f>
        <v>8690482759.5780411</v>
      </c>
      <c r="O20" s="139">
        <f t="shared" si="1"/>
        <v>5.6795926143771214E-2</v>
      </c>
      <c r="P20" s="165">
        <f>SUM(P18:P19)</f>
        <v>3593786552.7368603</v>
      </c>
      <c r="Q20" s="165">
        <f t="shared" ref="Q20:S20" si="50">SUM(Q18:Q19)</f>
        <v>3931167098.1718774</v>
      </c>
      <c r="R20" s="165">
        <f t="shared" si="50"/>
        <v>4314323423.884284</v>
      </c>
      <c r="S20" s="165">
        <f t="shared" si="50"/>
        <v>4727561745.5912218</v>
      </c>
      <c r="T20" s="165">
        <f>SUM(T18:T19)</f>
        <v>5184861435.9389811</v>
      </c>
      <c r="U20" s="129">
        <f t="shared" si="5"/>
        <v>9.5964647846895512E-2</v>
      </c>
      <c r="V20" s="165">
        <f t="shared" si="15"/>
        <v>3373758014.5900469</v>
      </c>
      <c r="W20" s="165">
        <f t="shared" si="44"/>
        <v>3426181158.0139565</v>
      </c>
      <c r="X20" s="165">
        <f t="shared" si="45"/>
        <v>3468708959.750351</v>
      </c>
      <c r="Y20" s="165">
        <f t="shared" si="46"/>
        <v>3495416861.0113726</v>
      </c>
      <c r="Z20" s="165">
        <f t="shared" si="28"/>
        <v>3505621323.63906</v>
      </c>
      <c r="AA20" s="129">
        <f t="shared" si="11"/>
        <v>9.6425367328997202E-3</v>
      </c>
    </row>
    <row r="21" spans="1:28" s="99" customFormat="1" ht="14.25">
      <c r="A21" s="159">
        <v>13</v>
      </c>
      <c r="B21" s="174" t="s">
        <v>18</v>
      </c>
      <c r="C21" s="167">
        <f>Projecção!G118</f>
        <v>60833</v>
      </c>
      <c r="D21" s="157">
        <f>Projecção!K21</f>
        <v>631509.13523120631</v>
      </c>
      <c r="E21" s="157">
        <f>Projecção!L21</f>
        <v>733095.19830968021</v>
      </c>
      <c r="F21" s="157">
        <f>Projecção!M21</f>
        <v>733095.19830968021</v>
      </c>
      <c r="G21" s="157">
        <f>Projecção!N21</f>
        <v>851022.63736524968</v>
      </c>
      <c r="H21" s="157">
        <f>Projecção!O21</f>
        <v>987920.16504542145</v>
      </c>
      <c r="I21" s="135">
        <f t="shared" si="3"/>
        <v>0.1206467857047881</v>
      </c>
      <c r="J21" s="156">
        <f t="shared" ref="J21:J23" si="51">+D21*$C21</f>
        <v>38416595223.519974</v>
      </c>
      <c r="K21" s="156">
        <f t="shared" ref="K21:K23" si="52">+E21*$C21</f>
        <v>44596380198.772774</v>
      </c>
      <c r="L21" s="156">
        <f t="shared" ref="L21:L23" si="53">+F21*$C21</f>
        <v>44596380198.772774</v>
      </c>
      <c r="M21" s="156">
        <f t="shared" ref="M21:N23" si="54">+G21*$C21</f>
        <v>51770260098.840233</v>
      </c>
      <c r="N21" s="156">
        <f t="shared" si="54"/>
        <v>60098147400.208122</v>
      </c>
      <c r="O21" s="138">
        <f t="shared" si="1"/>
        <v>0.12064678570478804</v>
      </c>
      <c r="P21" s="156">
        <f>Projecção!K69*'Custos de Produção'!$I$24</f>
        <v>7116127020</v>
      </c>
      <c r="Q21" s="156">
        <f>Projecção!L69*'Custos de Produção'!$I$24</f>
        <v>8082621638.5931473</v>
      </c>
      <c r="R21" s="156">
        <f>Projecção!M69*'Custos de Produção'!$I$24</f>
        <v>9180383145.0796928</v>
      </c>
      <c r="S21" s="156">
        <f>Projecção!N69*'Custos de Produção'!$I$24</f>
        <v>10427239880.689611</v>
      </c>
      <c r="T21" s="156">
        <f>Projecção!O69*'Custos de Produção'!$I$24</f>
        <v>11843441587.480726</v>
      </c>
      <c r="U21" s="138">
        <f t="shared" si="5"/>
        <v>0.13581750520708763</v>
      </c>
      <c r="V21" s="156">
        <f t="shared" si="15"/>
        <v>31300468203.519974</v>
      </c>
      <c r="W21" s="156">
        <f t="shared" ref="W21:W24" si="55">+K21-Q21</f>
        <v>36513758560.179626</v>
      </c>
      <c r="X21" s="156">
        <f t="shared" ref="X21:X24" si="56">+L21-R21</f>
        <v>35415997053.693085</v>
      </c>
      <c r="Y21" s="156">
        <f t="shared" ref="Y21:Y24" si="57">+M21-S21</f>
        <v>41343020218.15062</v>
      </c>
      <c r="Z21" s="156">
        <f t="shared" si="28"/>
        <v>48254705812.727394</v>
      </c>
      <c r="AA21" s="138">
        <f t="shared" si="11"/>
        <v>0.11775635175502444</v>
      </c>
    </row>
    <row r="22" spans="1:28" s="99" customFormat="1" ht="14.25">
      <c r="A22" s="159">
        <f>+A21+1</f>
        <v>14</v>
      </c>
      <c r="B22" s="168" t="s">
        <v>19</v>
      </c>
      <c r="C22" s="167">
        <f>Projecção!G119</f>
        <v>55775</v>
      </c>
      <c r="D22" s="157">
        <f>Projecção!K22</f>
        <v>308631.11604602</v>
      </c>
      <c r="E22" s="157">
        <f>Projecção!L22</f>
        <v>391988.33659181837</v>
      </c>
      <c r="F22" s="157">
        <f>Projecção!M22</f>
        <v>391988.33659181837</v>
      </c>
      <c r="G22" s="157">
        <f>Projecção!N22</f>
        <v>497859.25020311045</v>
      </c>
      <c r="H22" s="157">
        <f>Projecção!O22</f>
        <v>632324.51038691634</v>
      </c>
      <c r="I22" s="135">
        <f t="shared" si="3"/>
        <v>0.20256517298154314</v>
      </c>
      <c r="J22" s="156">
        <f t="shared" si="51"/>
        <v>17213900497.466766</v>
      </c>
      <c r="K22" s="156">
        <f t="shared" si="52"/>
        <v>21863149473.408669</v>
      </c>
      <c r="L22" s="156">
        <f t="shared" si="53"/>
        <v>21863149473.408669</v>
      </c>
      <c r="M22" s="156">
        <f t="shared" si="54"/>
        <v>27768099680.078484</v>
      </c>
      <c r="N22" s="156">
        <f t="shared" si="54"/>
        <v>35267899566.830261</v>
      </c>
      <c r="O22" s="138">
        <f t="shared" si="1"/>
        <v>0.2025651729815432</v>
      </c>
      <c r="P22" s="156">
        <f>Projecção!K70*'Custos de Produção'!$I$25</f>
        <v>751017960</v>
      </c>
      <c r="Q22" s="156">
        <f>Projecção!L70*'Custos de Produção'!$I$25</f>
        <v>828285200.85062206</v>
      </c>
      <c r="R22" s="156">
        <f>Projecção!M70*'Custos de Produção'!$I$25</f>
        <v>913501953.99875045</v>
      </c>
      <c r="S22" s="156">
        <f>Projecção!N70*'Custos de Produção'!$I$25</f>
        <v>1007486091.8709465</v>
      </c>
      <c r="T22" s="156">
        <f>Projecção!O70*'Custos de Produção'!$I$25</f>
        <v>1111139632.3458567</v>
      </c>
      <c r="U22" s="138">
        <f t="shared" si="5"/>
        <v>0.10288334629257351</v>
      </c>
      <c r="V22" s="156">
        <f t="shared" si="15"/>
        <v>16462882537.466766</v>
      </c>
      <c r="W22" s="156">
        <f t="shared" si="55"/>
        <v>21034864272.558048</v>
      </c>
      <c r="X22" s="156">
        <f t="shared" si="56"/>
        <v>20949647519.40992</v>
      </c>
      <c r="Y22" s="156">
        <f t="shared" si="57"/>
        <v>26760613588.207539</v>
      </c>
      <c r="Z22" s="156">
        <f t="shared" si="28"/>
        <v>34156759934.484406</v>
      </c>
      <c r="AA22" s="138">
        <f t="shared" si="11"/>
        <v>0.20685571483682105</v>
      </c>
    </row>
    <row r="23" spans="1:28" s="99" customFormat="1" ht="14.25">
      <c r="A23" s="159">
        <f>+A22+1</f>
        <v>15</v>
      </c>
      <c r="B23" s="168" t="s">
        <v>20</v>
      </c>
      <c r="C23" s="167">
        <f>Projecção!G120</f>
        <v>49667</v>
      </c>
      <c r="D23" s="157">
        <f>Projecção!K23</f>
        <v>1957760</v>
      </c>
      <c r="E23" s="157">
        <f>Projecção!L23</f>
        <v>2192691.2000000002</v>
      </c>
      <c r="F23" s="157">
        <f>Projecção!M23</f>
        <v>2455814.1440000003</v>
      </c>
      <c r="G23" s="157">
        <f>Projecção!N23</f>
        <v>2676837.4169600005</v>
      </c>
      <c r="H23" s="157">
        <f>Projecção!O23</f>
        <v>2917752.7844864004</v>
      </c>
      <c r="I23" s="135">
        <f t="shared" si="3"/>
        <v>0.10500000000000004</v>
      </c>
      <c r="J23" s="156">
        <f t="shared" si="51"/>
        <v>97236065920</v>
      </c>
      <c r="K23" s="156">
        <f t="shared" si="52"/>
        <v>108904393830.40001</v>
      </c>
      <c r="L23" s="156">
        <f t="shared" si="53"/>
        <v>121972921090.04802</v>
      </c>
      <c r="M23" s="156">
        <f t="shared" si="54"/>
        <v>132950483988.15234</v>
      </c>
      <c r="N23" s="156">
        <f t="shared" si="54"/>
        <v>144916027547.08606</v>
      </c>
      <c r="O23" s="138">
        <f t="shared" si="1"/>
        <v>0.10500000000000009</v>
      </c>
      <c r="P23" s="156">
        <f>Projecção!K71*'Custos de Produção'!$I$26</f>
        <v>14584935168</v>
      </c>
      <c r="Q23" s="156">
        <f>Projecção!L71*'Custos de Produção'!$I$26</f>
        <v>15508638145.407253</v>
      </c>
      <c r="R23" s="156">
        <f>Projecção!M71*'Custos de Produção'!$I$26</f>
        <v>16490841704.451859</v>
      </c>
      <c r="S23" s="156">
        <f>Projecção!N71*'Custos de Produção'!$I$26</f>
        <v>17535250843.53223</v>
      </c>
      <c r="T23" s="156">
        <f>Projecção!O71*'Custos de Produção'!$I$26</f>
        <v>18645805208.510929</v>
      </c>
      <c r="U23" s="138">
        <f t="shared" si="5"/>
        <v>6.3332676269545529E-2</v>
      </c>
      <c r="V23" s="156">
        <f t="shared" si="15"/>
        <v>82651130752</v>
      </c>
      <c r="W23" s="156">
        <f t="shared" si="55"/>
        <v>93395755684.992752</v>
      </c>
      <c r="X23" s="156">
        <f t="shared" si="56"/>
        <v>105482079385.59616</v>
      </c>
      <c r="Y23" s="156">
        <f t="shared" si="57"/>
        <v>115415233144.62012</v>
      </c>
      <c r="Z23" s="156">
        <f t="shared" si="28"/>
        <v>126270222338.57513</v>
      </c>
      <c r="AA23" s="138">
        <f t="shared" si="11"/>
        <v>0.11190755897218074</v>
      </c>
    </row>
    <row r="24" spans="1:28" ht="15">
      <c r="A24" s="160"/>
      <c r="B24" s="163" t="s">
        <v>123</v>
      </c>
      <c r="C24" s="165"/>
      <c r="D24" s="163">
        <f>SUM(D22:D23)</f>
        <v>2266391.1160460198</v>
      </c>
      <c r="E24" s="163">
        <f>SUM(E22:E23)</f>
        <v>2584679.5365918186</v>
      </c>
      <c r="F24" s="163">
        <f t="shared" ref="F24:H24" si="58">SUM(F22:F23)</f>
        <v>2847802.4805918187</v>
      </c>
      <c r="G24" s="163">
        <f t="shared" si="58"/>
        <v>3174696.6671631108</v>
      </c>
      <c r="H24" s="163">
        <f t="shared" si="58"/>
        <v>3550077.2948733168</v>
      </c>
      <c r="I24" s="131">
        <f t="shared" si="3"/>
        <v>0.11881726661630226</v>
      </c>
      <c r="J24" s="164">
        <f>SUM(J21:J23)</f>
        <v>152866561640.98676</v>
      </c>
      <c r="K24" s="164">
        <f t="shared" ref="K24:M24" si="59">SUM(K21:K23)</f>
        <v>175363923502.58145</v>
      </c>
      <c r="L24" s="164">
        <f t="shared" si="59"/>
        <v>188432450762.22946</v>
      </c>
      <c r="M24" s="164">
        <f t="shared" si="59"/>
        <v>212488843767.07104</v>
      </c>
      <c r="N24" s="164">
        <f t="shared" ref="N24" si="60">SUM(N21:N23)</f>
        <v>240282074514.12445</v>
      </c>
      <c r="O24" s="139">
        <f t="shared" si="1"/>
        <v>0.12003916788817409</v>
      </c>
      <c r="P24" s="165">
        <f>SUM(P21:P23)</f>
        <v>22452080148</v>
      </c>
      <c r="Q24" s="165">
        <f t="shared" ref="Q24:S24" si="61">SUM(Q21:Q23)</f>
        <v>24419544984.851021</v>
      </c>
      <c r="R24" s="165">
        <f t="shared" si="61"/>
        <v>26584726803.530304</v>
      </c>
      <c r="S24" s="165">
        <f t="shared" si="61"/>
        <v>28969976816.092789</v>
      </c>
      <c r="T24" s="165">
        <f>SUM(T21:T23)</f>
        <v>31600386428.337513</v>
      </c>
      <c r="U24" s="129">
        <f t="shared" si="5"/>
        <v>8.9203949947146088E-2</v>
      </c>
      <c r="V24" s="165">
        <f>+J24-P24</f>
        <v>130414481492.98676</v>
      </c>
      <c r="W24" s="165">
        <f t="shared" si="55"/>
        <v>150944378517.73044</v>
      </c>
      <c r="X24" s="165">
        <f t="shared" si="56"/>
        <v>161847723958.69916</v>
      </c>
      <c r="Y24" s="165">
        <f t="shared" si="57"/>
        <v>183518866950.97827</v>
      </c>
      <c r="Z24" s="165">
        <f t="shared" ref="Z24:Z38" si="62">+N24-T24</f>
        <v>208681688085.78693</v>
      </c>
      <c r="AA24" s="129">
        <f t="shared" si="11"/>
        <v>0.12516647843229151</v>
      </c>
    </row>
    <row r="25" spans="1:28" s="99" customFormat="1" ht="14.25">
      <c r="A25" s="159">
        <f>A23+1</f>
        <v>16</v>
      </c>
      <c r="B25" s="174" t="s">
        <v>23</v>
      </c>
      <c r="C25" s="167">
        <f>Projecção!G122</f>
        <v>23300</v>
      </c>
      <c r="D25" s="157">
        <f>Projecção!K25</f>
        <v>64800</v>
      </c>
      <c r="E25" s="157">
        <f>Projecção!L25</f>
        <v>69984</v>
      </c>
      <c r="F25" s="157">
        <f>Projecção!M25</f>
        <v>75582.720000000001</v>
      </c>
      <c r="G25" s="157">
        <f>Projecção!N25</f>
        <v>81629.337599999999</v>
      </c>
      <c r="H25" s="157">
        <f>Projecção!O25</f>
        <v>88159.684607999996</v>
      </c>
      <c r="I25" s="135">
        <f t="shared" si="3"/>
        <v>8.0000000000000071E-2</v>
      </c>
      <c r="J25" s="156">
        <f t="shared" ref="J25:J38" si="63">+D25*$C25</f>
        <v>1509840000</v>
      </c>
      <c r="K25" s="156">
        <f t="shared" ref="K25:K38" si="64">+E25*$C25</f>
        <v>1630627200</v>
      </c>
      <c r="L25" s="156">
        <f t="shared" ref="L25:L38" si="65">+F25*$C25</f>
        <v>1761077376</v>
      </c>
      <c r="M25" s="156">
        <f t="shared" ref="M25:N38" si="66">+G25*$C25</f>
        <v>1901963566.0799999</v>
      </c>
      <c r="N25" s="156">
        <f t="shared" si="66"/>
        <v>2054120651.3664</v>
      </c>
      <c r="O25" s="138">
        <f t="shared" si="1"/>
        <v>8.0000000000000016E-2</v>
      </c>
      <c r="P25" s="156">
        <f>Projecção!K73*'Custos de Produção'!$I$27</f>
        <v>1348050000</v>
      </c>
      <c r="Q25" s="156">
        <f>Projecção!L73*'Custos de Produção'!$I$27</f>
        <v>1455894000</v>
      </c>
      <c r="R25" s="156">
        <f>Projecção!M73*'Custos de Produção'!$I$27</f>
        <v>1565086050</v>
      </c>
      <c r="S25" s="156">
        <f>Projecção!N73*'Custos de Produção'!$I$27</f>
        <v>1674642073.5</v>
      </c>
      <c r="T25" s="156">
        <f>Projecção!O73*'Custos de Produção'!$I$27</f>
        <v>1758374177.1750002</v>
      </c>
      <c r="U25" s="138">
        <f t="shared" si="5"/>
        <v>6.8750000000000033E-2</v>
      </c>
      <c r="V25" s="156">
        <f t="shared" ref="V25:V38" si="67">+J25-P25</f>
        <v>161790000</v>
      </c>
      <c r="W25" s="156">
        <f t="shared" ref="W25:W38" si="68">+K25-Q25</f>
        <v>174733200</v>
      </c>
      <c r="X25" s="156">
        <f t="shared" ref="X25:X38" si="69">+L25-R25</f>
        <v>195991326</v>
      </c>
      <c r="Y25" s="156">
        <f t="shared" ref="Y25:Y38" si="70">+M25-S25</f>
        <v>227321492.57999992</v>
      </c>
      <c r="Z25" s="156">
        <f>+N25-T25</f>
        <v>295746474.19139981</v>
      </c>
      <c r="AA25" s="138">
        <f t="shared" si="11"/>
        <v>0.16563017051364348</v>
      </c>
    </row>
    <row r="26" spans="1:28" s="99" customFormat="1" ht="15.75">
      <c r="A26" s="159">
        <f>A25+1</f>
        <v>17</v>
      </c>
      <c r="B26" s="168" t="s">
        <v>124</v>
      </c>
      <c r="C26" s="167">
        <v>250000</v>
      </c>
      <c r="D26" s="157">
        <f>Projecção!K26</f>
        <v>8077.2950407574153</v>
      </c>
      <c r="E26" s="157">
        <f>Projecção!L26</f>
        <v>10873.782529240723</v>
      </c>
      <c r="F26" s="157">
        <f>Projecção!M26</f>
        <v>14638.458282951786</v>
      </c>
      <c r="G26" s="157">
        <f>Projecção!N26</f>
        <v>19706.524415536795</v>
      </c>
      <c r="H26" s="157">
        <f>Projecção!O26</f>
        <v>26529.235322030047</v>
      </c>
      <c r="I26" s="135">
        <f t="shared" si="3"/>
        <v>0.34621584012623591</v>
      </c>
      <c r="J26" s="156">
        <f t="shared" si="63"/>
        <v>2019323760.1893539</v>
      </c>
      <c r="K26" s="156">
        <f t="shared" si="64"/>
        <v>2718445632.3101807</v>
      </c>
      <c r="L26" s="156">
        <f t="shared" si="65"/>
        <v>3659614570.7379465</v>
      </c>
      <c r="M26" s="156">
        <f t="shared" si="66"/>
        <v>4926631103.8841982</v>
      </c>
      <c r="N26" s="156">
        <f t="shared" si="66"/>
        <v>6632308830.5075121</v>
      </c>
      <c r="O26" s="138">
        <f t="shared" si="1"/>
        <v>0.34621584012623585</v>
      </c>
      <c r="P26" s="156">
        <f>Projecção!K74*'Custos de Produção'!$I$28</f>
        <v>219430800</v>
      </c>
      <c r="Q26" s="156">
        <f>Projecção!L74*'Custos de Produção'!$I$28</f>
        <v>221625108</v>
      </c>
      <c r="R26" s="156">
        <f>Projecção!M74*'Custos de Produção'!$I$28</f>
        <v>223841359.07999998</v>
      </c>
      <c r="S26" s="156">
        <f>Projecção!N74*'Custos de Produção'!$I$28</f>
        <v>226079772.67079997</v>
      </c>
      <c r="T26" s="156">
        <f>Projecção!O74*'Custos de Produção'!$I$28</f>
        <v>228340570.397508</v>
      </c>
      <c r="U26" s="138">
        <f t="shared" si="5"/>
        <v>1.0000000000000009E-2</v>
      </c>
      <c r="V26" s="156">
        <f t="shared" si="67"/>
        <v>1799892960.1893539</v>
      </c>
      <c r="W26" s="156">
        <f t="shared" si="68"/>
        <v>2496820524.3101807</v>
      </c>
      <c r="X26" s="156">
        <f t="shared" si="69"/>
        <v>3435773211.6579466</v>
      </c>
      <c r="Y26" s="156">
        <f t="shared" si="70"/>
        <v>4700551331.213398</v>
      </c>
      <c r="Z26" s="156">
        <f t="shared" si="62"/>
        <v>6403968260.1100044</v>
      </c>
      <c r="AA26" s="138">
        <f t="shared" si="11"/>
        <v>0.37344283689126728</v>
      </c>
    </row>
    <row r="27" spans="1:28" s="99" customFormat="1" ht="14.25">
      <c r="A27" s="159">
        <f t="shared" ref="A27:A38" si="71">A26+1</f>
        <v>18</v>
      </c>
      <c r="B27" s="168" t="s">
        <v>25</v>
      </c>
      <c r="C27" s="167">
        <v>39000</v>
      </c>
      <c r="D27" s="157">
        <f>Projecção!K27</f>
        <v>142103</v>
      </c>
      <c r="E27" s="157">
        <f>Projecção!L27</f>
        <v>144237.5900642857</v>
      </c>
      <c r="F27" s="157">
        <f>Projecção!M27</f>
        <v>146404.24472075136</v>
      </c>
      <c r="G27" s="157">
        <f>Projecção!N27</f>
        <v>148603.44562537808</v>
      </c>
      <c r="H27" s="157">
        <f>Projecção!O27</f>
        <v>150835.68166930787</v>
      </c>
      <c r="I27" s="135">
        <f t="shared" si="3"/>
        <v>1.5021428571428519E-2</v>
      </c>
      <c r="J27" s="156">
        <f t="shared" si="63"/>
        <v>5542017000</v>
      </c>
      <c r="K27" s="156">
        <f t="shared" si="64"/>
        <v>5625266012.5071421</v>
      </c>
      <c r="L27" s="156">
        <f t="shared" si="65"/>
        <v>5709765544.1093035</v>
      </c>
      <c r="M27" s="156">
        <f t="shared" si="66"/>
        <v>5795534379.3897448</v>
      </c>
      <c r="N27" s="156">
        <f t="shared" si="66"/>
        <v>5882591585.1030073</v>
      </c>
      <c r="O27" s="138">
        <f t="shared" si="1"/>
        <v>1.502142857142863E-2</v>
      </c>
      <c r="P27" s="156">
        <f>Projecção!K75*'Custos de Produção'!$I$29</f>
        <v>4785791560</v>
      </c>
      <c r="Q27" s="156">
        <f>Projecção!L75*'Custos de Produção'!$I$29</f>
        <v>4833649475.6000004</v>
      </c>
      <c r="R27" s="156">
        <f>Projecção!M75*'Custos de Produção'!$I$29</f>
        <v>4881985970.3559999</v>
      </c>
      <c r="S27" s="156">
        <f>Projecção!N75*'Custos de Produção'!$I$29</f>
        <v>4930805830.0595598</v>
      </c>
      <c r="T27" s="156">
        <f>Projecção!O75*'Custos de Produção'!$I$29</f>
        <v>4980113888.3601561</v>
      </c>
      <c r="U27" s="138">
        <f t="shared" si="5"/>
        <v>1.0000000000000064E-2</v>
      </c>
      <c r="V27" s="156">
        <f t="shared" si="67"/>
        <v>756225440</v>
      </c>
      <c r="W27" s="156">
        <f t="shared" si="68"/>
        <v>791616536.90714169</v>
      </c>
      <c r="X27" s="156">
        <f t="shared" si="69"/>
        <v>827779573.75330353</v>
      </c>
      <c r="Y27" s="156">
        <f t="shared" si="70"/>
        <v>864728549.33018494</v>
      </c>
      <c r="Z27" s="156">
        <f t="shared" si="62"/>
        <v>902477696.74285126</v>
      </c>
      <c r="AA27" s="138">
        <f t="shared" si="11"/>
        <v>4.5193191120943554E-2</v>
      </c>
    </row>
    <row r="28" spans="1:28" s="99" customFormat="1" ht="14.25">
      <c r="A28" s="159">
        <f t="shared" si="71"/>
        <v>19</v>
      </c>
      <c r="B28" s="168" t="s">
        <v>125</v>
      </c>
      <c r="C28" s="167">
        <f>Projecção!G125</f>
        <v>0</v>
      </c>
      <c r="D28" s="157">
        <f>Projecção!K28</f>
        <v>0</v>
      </c>
      <c r="E28" s="157">
        <f>Projecção!L28</f>
        <v>0</v>
      </c>
      <c r="F28" s="157">
        <f>Projecção!M28</f>
        <v>0</v>
      </c>
      <c r="G28" s="157">
        <f>Projecção!N28</f>
        <v>0</v>
      </c>
      <c r="H28" s="157">
        <f>Projecção!O28</f>
        <v>0</v>
      </c>
      <c r="I28" s="135"/>
      <c r="J28" s="156">
        <f t="shared" si="63"/>
        <v>0</v>
      </c>
      <c r="K28" s="156">
        <f t="shared" si="64"/>
        <v>0</v>
      </c>
      <c r="L28" s="156">
        <f t="shared" si="65"/>
        <v>0</v>
      </c>
      <c r="M28" s="156">
        <f t="shared" si="66"/>
        <v>0</v>
      </c>
      <c r="N28" s="156">
        <f t="shared" si="66"/>
        <v>0</v>
      </c>
      <c r="O28" s="138"/>
      <c r="P28" s="156">
        <f>Projecção!K76*'Custos de Produção'!$I$30</f>
        <v>0</v>
      </c>
      <c r="Q28" s="156">
        <f>Projecção!L76*'Custos de Produção'!$I$30</f>
        <v>0</v>
      </c>
      <c r="R28" s="156">
        <f>Projecção!M76*'Custos de Produção'!$I$30</f>
        <v>0</v>
      </c>
      <c r="S28" s="156">
        <f>Projecção!N76*'Custos de Produção'!$I$30</f>
        <v>0</v>
      </c>
      <c r="T28" s="156">
        <f>Projecção!O76*'Custos de Produção'!$I$30</f>
        <v>0</v>
      </c>
      <c r="U28" s="138"/>
      <c r="V28" s="156">
        <f t="shared" si="67"/>
        <v>0</v>
      </c>
      <c r="W28" s="156">
        <f t="shared" si="68"/>
        <v>0</v>
      </c>
      <c r="X28" s="156">
        <f t="shared" si="69"/>
        <v>0</v>
      </c>
      <c r="Y28" s="156">
        <f t="shared" si="70"/>
        <v>0</v>
      </c>
      <c r="Z28" s="156">
        <f t="shared" si="62"/>
        <v>0</v>
      </c>
      <c r="AA28" s="138"/>
    </row>
    <row r="29" spans="1:28" s="99" customFormat="1" ht="14.25">
      <c r="A29" s="159">
        <f t="shared" si="71"/>
        <v>20</v>
      </c>
      <c r="B29" s="168" t="s">
        <v>26</v>
      </c>
      <c r="C29" s="167">
        <f>Projecção!G126</f>
        <v>94500</v>
      </c>
      <c r="D29" s="157">
        <f>Projecção!K29</f>
        <v>98729.173609921942</v>
      </c>
      <c r="E29" s="157">
        <f>Projecção!L29</f>
        <v>100592.87638491338</v>
      </c>
      <c r="F29" s="157">
        <f>Projecção!M29</f>
        <v>100592.87638491338</v>
      </c>
      <c r="G29" s="157">
        <f>Projecção!N29</f>
        <v>102491.76012928308</v>
      </c>
      <c r="H29" s="157">
        <f>Projecção!O29</f>
        <v>104426.48895139799</v>
      </c>
      <c r="I29" s="135">
        <f t="shared" si="3"/>
        <v>1.4157690479272012E-2</v>
      </c>
      <c r="J29" s="156">
        <f t="shared" si="63"/>
        <v>9329906906.1376228</v>
      </c>
      <c r="K29" s="156">
        <f t="shared" si="64"/>
        <v>9506026818.3743153</v>
      </c>
      <c r="L29" s="156">
        <f t="shared" si="65"/>
        <v>9506026818.3743153</v>
      </c>
      <c r="M29" s="156">
        <f t="shared" si="66"/>
        <v>9685471332.2172508</v>
      </c>
      <c r="N29" s="156">
        <f t="shared" si="66"/>
        <v>9868303205.9071102</v>
      </c>
      <c r="O29" s="138">
        <f t="shared" si="1"/>
        <v>1.4157690479272012E-2</v>
      </c>
      <c r="P29" s="156">
        <f>Projecção!K77*'Custos de Produção'!$I$31</f>
        <v>2925276375</v>
      </c>
      <c r="Q29" s="156">
        <f>Projecção!L77*'Custos de Produção'!$I$31</f>
        <v>3043557426.0243092</v>
      </c>
      <c r="R29" s="156">
        <f>Projecção!M77*'Custos de Produção'!$I$31</f>
        <v>3166621070.2938175</v>
      </c>
      <c r="S29" s="156">
        <f>Projecção!N77*'Custos de Produção'!$I$31</f>
        <v>3294660687.8804035</v>
      </c>
      <c r="T29" s="156">
        <f>Projecção!O77*'Custos de Produção'!$I$31</f>
        <v>3427877478.0139403</v>
      </c>
      <c r="U29" s="138">
        <f t="shared" si="5"/>
        <v>4.043414565377923E-2</v>
      </c>
      <c r="V29" s="156">
        <f t="shared" si="67"/>
        <v>6404630531.1376228</v>
      </c>
      <c r="W29" s="156">
        <f t="shared" si="68"/>
        <v>6462469392.3500061</v>
      </c>
      <c r="X29" s="156">
        <f t="shared" si="69"/>
        <v>6339405748.0804977</v>
      </c>
      <c r="Y29" s="156">
        <f t="shared" si="70"/>
        <v>6390810644.3368473</v>
      </c>
      <c r="Z29" s="156">
        <f t="shared" si="62"/>
        <v>6440425727.8931694</v>
      </c>
      <c r="AA29" s="138">
        <f t="shared" si="11"/>
        <v>1.4650648579662973E-3</v>
      </c>
    </row>
    <row r="30" spans="1:28" s="99" customFormat="1" ht="14.25">
      <c r="A30" s="159">
        <f t="shared" si="71"/>
        <v>21</v>
      </c>
      <c r="B30" s="168" t="s">
        <v>27</v>
      </c>
      <c r="C30" s="167">
        <f>Projecção!G127</f>
        <v>33000</v>
      </c>
      <c r="D30" s="157">
        <f>Projecção!K30</f>
        <v>76116.512591596344</v>
      </c>
      <c r="E30" s="157">
        <f>Projecção!L30</f>
        <v>81947.99843149427</v>
      </c>
      <c r="F30" s="157">
        <f>Projecção!M30</f>
        <v>81947.99843149427</v>
      </c>
      <c r="G30" s="157">
        <f>Projecção!N30</f>
        <v>88226.249709574986</v>
      </c>
      <c r="H30" s="157">
        <f>Projecção!O30</f>
        <v>94985.494298842823</v>
      </c>
      <c r="I30" s="135">
        <f t="shared" si="3"/>
        <v>5.7459468793454871E-2</v>
      </c>
      <c r="J30" s="156">
        <f t="shared" si="63"/>
        <v>2511844915.5226793</v>
      </c>
      <c r="K30" s="156">
        <f t="shared" si="64"/>
        <v>2704283948.2393107</v>
      </c>
      <c r="L30" s="156">
        <f t="shared" si="65"/>
        <v>2704283948.2393107</v>
      </c>
      <c r="M30" s="156">
        <f t="shared" si="66"/>
        <v>2911466240.4159746</v>
      </c>
      <c r="N30" s="156">
        <f t="shared" si="66"/>
        <v>3134521311.8618131</v>
      </c>
      <c r="O30" s="138">
        <f t="shared" si="1"/>
        <v>5.7459468793454871E-2</v>
      </c>
      <c r="P30" s="156">
        <f>Projecção!K78*'Custos de Produção'!$I$32</f>
        <v>1576402798.5</v>
      </c>
      <c r="Q30" s="156">
        <f>Projecção!L78*'Custos de Produção'!$I$32</f>
        <v>1683118406.4518828</v>
      </c>
      <c r="R30" s="156">
        <f>Projecção!M78*'Custos de Produção'!$I$32</f>
        <v>1797058196.5679791</v>
      </c>
      <c r="S30" s="156">
        <f>Projecção!N78*'Custos de Produção'!$I$32</f>
        <v>1918711214.5365756</v>
      </c>
      <c r="T30" s="156">
        <f>Projecção!O78*'Custos de Produção'!$I$32</f>
        <v>2048599612.3104179</v>
      </c>
      <c r="U30" s="138">
        <f t="shared" si="5"/>
        <v>6.7695647364636957E-2</v>
      </c>
      <c r="V30" s="156">
        <f t="shared" si="67"/>
        <v>935442117.02267933</v>
      </c>
      <c r="W30" s="156">
        <f t="shared" si="68"/>
        <v>1021165541.7874279</v>
      </c>
      <c r="X30" s="156">
        <f t="shared" si="69"/>
        <v>907225751.67133164</v>
      </c>
      <c r="Y30" s="156">
        <f t="shared" si="70"/>
        <v>992755025.87939906</v>
      </c>
      <c r="Z30" s="156">
        <f t="shared" si="62"/>
        <v>1085921699.5513952</v>
      </c>
      <c r="AA30" s="138">
        <f t="shared" si="11"/>
        <v>4.2045877983264368E-2</v>
      </c>
    </row>
    <row r="31" spans="1:28" s="99" customFormat="1" ht="14.25">
      <c r="A31" s="159">
        <f t="shared" si="71"/>
        <v>22</v>
      </c>
      <c r="B31" s="174" t="s">
        <v>28</v>
      </c>
      <c r="C31" s="167">
        <f>Projecção!G128</f>
        <v>46009</v>
      </c>
      <c r="D31" s="157">
        <f>Projecção!K31</f>
        <v>415457.23505587626</v>
      </c>
      <c r="E31" s="157">
        <f>Projecção!L31</f>
        <v>476019.61985734588</v>
      </c>
      <c r="F31" s="157">
        <f>Projecção!M31</f>
        <v>476019.61985734588</v>
      </c>
      <c r="G31" s="157">
        <f>Projecção!N31</f>
        <v>545410.35603497573</v>
      </c>
      <c r="H31" s="157">
        <f>Projecção!O31</f>
        <v>624916.37752104818</v>
      </c>
      <c r="I31" s="135">
        <f t="shared" si="3"/>
        <v>0.10932963676753221</v>
      </c>
      <c r="J31" s="156">
        <f t="shared" si="63"/>
        <v>19114771927.68581</v>
      </c>
      <c r="K31" s="156">
        <f t="shared" si="64"/>
        <v>21901186690.016628</v>
      </c>
      <c r="L31" s="156">
        <f t="shared" si="65"/>
        <v>21901186690.016628</v>
      </c>
      <c r="M31" s="156">
        <f t="shared" si="66"/>
        <v>25093785070.813198</v>
      </c>
      <c r="N31" s="156">
        <f t="shared" si="66"/>
        <v>28751777613.365906</v>
      </c>
      <c r="O31" s="138">
        <f t="shared" si="1"/>
        <v>0.10932963676753227</v>
      </c>
      <c r="P31" s="156">
        <f>Projecção!K79*'Custos de Produção'!$I$33</f>
        <v>6991992262</v>
      </c>
      <c r="Q31" s="156">
        <f>Projecção!L79*'Custos de Produção'!$I$33</f>
        <v>7522805097.0879669</v>
      </c>
      <c r="R31" s="156">
        <f>Projecção!M79*'Custos de Produção'!$I$33</f>
        <v>8093915783.6803532</v>
      </c>
      <c r="S31" s="156">
        <f>Projecção!N79*'Custos de Produção'!$I$33</f>
        <v>8708383623.9050045</v>
      </c>
      <c r="T31" s="156">
        <f>Projecção!O79*'Custos de Produção'!$I$33</f>
        <v>9369500173.6988392</v>
      </c>
      <c r="U31" s="138">
        <f t="shared" si="5"/>
        <v>7.5917251506816219E-2</v>
      </c>
      <c r="V31" s="156">
        <f t="shared" si="67"/>
        <v>12122779665.68581</v>
      </c>
      <c r="W31" s="156">
        <f t="shared" si="68"/>
        <v>14378381592.928661</v>
      </c>
      <c r="X31" s="156">
        <f t="shared" si="69"/>
        <v>13807270906.336275</v>
      </c>
      <c r="Y31" s="156">
        <f t="shared" si="70"/>
        <v>16385401446.908194</v>
      </c>
      <c r="Z31" s="156">
        <f t="shared" si="62"/>
        <v>19382277439.667068</v>
      </c>
      <c r="AA31" s="138">
        <f t="shared" si="11"/>
        <v>0.12899120626883179</v>
      </c>
    </row>
    <row r="32" spans="1:28" s="99" customFormat="1" ht="14.25">
      <c r="A32" s="159">
        <f t="shared" si="71"/>
        <v>23</v>
      </c>
      <c r="B32" s="174" t="s">
        <v>29</v>
      </c>
      <c r="C32" s="167">
        <f>Projecção!G129</f>
        <v>29835.224999999999</v>
      </c>
      <c r="D32" s="157">
        <f>Projecção!K32</f>
        <v>494206.63639655005</v>
      </c>
      <c r="E32" s="157">
        <f>Projecção!L32</f>
        <v>483643.95932354813</v>
      </c>
      <c r="F32" s="157">
        <f>Projecção!M32</f>
        <v>483643.95932354813</v>
      </c>
      <c r="G32" s="157">
        <f>Projecção!N32</f>
        <v>473307.03831841698</v>
      </c>
      <c r="H32" s="157">
        <f>Projecção!O32</f>
        <v>463191.04829734232</v>
      </c>
      <c r="I32" s="135">
        <f t="shared" si="3"/>
        <v>-1.6029747925915827E-2</v>
      </c>
      <c r="J32" s="156">
        <f t="shared" si="63"/>
        <v>14744766193.38426</v>
      </c>
      <c r="K32" s="156">
        <f t="shared" si="64"/>
        <v>14429626346.308905</v>
      </c>
      <c r="L32" s="156">
        <f t="shared" si="65"/>
        <v>14429626346.308905</v>
      </c>
      <c r="M32" s="156">
        <f t="shared" si="66"/>
        <v>14121221982.313591</v>
      </c>
      <c r="N32" s="156">
        <f t="shared" si="66"/>
        <v>13819409143.937075</v>
      </c>
      <c r="O32" s="138">
        <f t="shared" si="1"/>
        <v>-1.6029747925915827E-2</v>
      </c>
      <c r="P32" s="156">
        <f>Projecção!K80*'Custos de Produção'!$I$34</f>
        <v>7591316800</v>
      </c>
      <c r="Q32" s="156">
        <f>Projecção!L80*'Custos de Produção'!$I$34</f>
        <v>7469711413.4032841</v>
      </c>
      <c r="R32" s="156">
        <f>Projecção!M80*'Custos de Produção'!$I$34</f>
        <v>7350054024.8204746</v>
      </c>
      <c r="S32" s="156">
        <f>Projecção!N80*'Custos de Produção'!$I$34</f>
        <v>7232313429.250145</v>
      </c>
      <c r="T32" s="156">
        <f>Projecção!O80*'Custos de Produção'!$I$34</f>
        <v>7116458921.5641279</v>
      </c>
      <c r="U32" s="138">
        <f t="shared" si="5"/>
        <v>-1.6019010904236852E-2</v>
      </c>
      <c r="V32" s="156">
        <f t="shared" si="67"/>
        <v>7153449393.3842602</v>
      </c>
      <c r="W32" s="156">
        <f t="shared" si="68"/>
        <v>6959914932.9056206</v>
      </c>
      <c r="X32" s="156">
        <f t="shared" si="69"/>
        <v>7079572321.48843</v>
      </c>
      <c r="Y32" s="156">
        <f t="shared" si="70"/>
        <v>6888908553.063446</v>
      </c>
      <c r="Z32" s="156">
        <f t="shared" si="62"/>
        <v>6702950222.3729467</v>
      </c>
      <c r="AA32" s="138">
        <f t="shared" si="11"/>
        <v>-1.5946938196972099E-2</v>
      </c>
    </row>
    <row r="33" spans="1:27" s="99" customFormat="1" ht="14.25">
      <c r="A33" s="159">
        <f t="shared" si="71"/>
        <v>24</v>
      </c>
      <c r="B33" s="168" t="s">
        <v>30</v>
      </c>
      <c r="C33" s="167">
        <v>17000</v>
      </c>
      <c r="D33" s="157">
        <f>Projecção!K33</f>
        <v>4042238.6537599317</v>
      </c>
      <c r="E33" s="157">
        <f>Projecção!L33</f>
        <v>4175745.8047408396</v>
      </c>
      <c r="F33" s="157">
        <f>Projecção!M33</f>
        <v>4313662.4329668526</v>
      </c>
      <c r="G33" s="157">
        <f>Projecção!N33</f>
        <v>4456134.1747535709</v>
      </c>
      <c r="H33" s="157">
        <f>Projecção!O33</f>
        <v>4603311.4764961665</v>
      </c>
      <c r="I33" s="135">
        <f t="shared" si="3"/>
        <v>3.3028022938904167E-2</v>
      </c>
      <c r="J33" s="156">
        <f t="shared" si="63"/>
        <v>68718057113.918839</v>
      </c>
      <c r="K33" s="156">
        <f t="shared" si="64"/>
        <v>70987678680.594269</v>
      </c>
      <c r="L33" s="156">
        <f t="shared" si="65"/>
        <v>73332261360.436493</v>
      </c>
      <c r="M33" s="156">
        <f t="shared" si="66"/>
        <v>75754280970.810699</v>
      </c>
      <c r="N33" s="156">
        <f t="shared" si="66"/>
        <v>78256295100.43483</v>
      </c>
      <c r="O33" s="138">
        <f t="shared" si="1"/>
        <v>3.3028022938904111E-2</v>
      </c>
      <c r="P33" s="156">
        <f>Projecção!K81*'Custos de Produção'!$I$35</f>
        <v>7262097600.000001</v>
      </c>
      <c r="Q33" s="156">
        <f>Projecção!L81*'Custos de Produção'!$I$35</f>
        <v>7380986080.0837765</v>
      </c>
      <c r="R33" s="156">
        <f>Projecção!M81*'Custos de Produção'!$I$35</f>
        <v>7501820894.6118374</v>
      </c>
      <c r="S33" s="156">
        <f>Projecção!N81*'Custos de Produção'!$I$35</f>
        <v>7624633907.2076912</v>
      </c>
      <c r="T33" s="156">
        <f>Projecção!O81*'Custos de Produção'!$I$35</f>
        <v>7749457503.1372128</v>
      </c>
      <c r="U33" s="138">
        <f t="shared" si="5"/>
        <v>1.6371093674612147E-2</v>
      </c>
      <c r="V33" s="156">
        <f t="shared" si="67"/>
        <v>61455959513.918839</v>
      </c>
      <c r="W33" s="156">
        <f t="shared" si="68"/>
        <v>63606692600.51049</v>
      </c>
      <c r="X33" s="156">
        <f t="shared" si="69"/>
        <v>65830440465.824654</v>
      </c>
      <c r="Y33" s="156">
        <f t="shared" si="70"/>
        <v>68129647063.603012</v>
      </c>
      <c r="Z33" s="156">
        <f t="shared" si="62"/>
        <v>70506837597.297623</v>
      </c>
      <c r="AA33" s="138">
        <f t="shared" si="11"/>
        <v>3.4943898164158993E-2</v>
      </c>
    </row>
    <row r="34" spans="1:27" s="99" customFormat="1" ht="14.25">
      <c r="A34" s="159">
        <f t="shared" si="71"/>
        <v>25</v>
      </c>
      <c r="B34" s="168" t="s">
        <v>97</v>
      </c>
      <c r="C34" s="167">
        <f>Projecção!G131</f>
        <v>25000</v>
      </c>
      <c r="D34" s="157">
        <f>Projecção!K34</f>
        <v>20057.32</v>
      </c>
      <c r="E34" s="157">
        <f>Projecção!L34</f>
        <v>21260.7592</v>
      </c>
      <c r="F34" s="157">
        <f>Projecção!M34</f>
        <v>22536.404752000002</v>
      </c>
      <c r="G34" s="157">
        <f>Projecção!N34</f>
        <v>23888.589037120004</v>
      </c>
      <c r="H34" s="157">
        <f>Projecção!O34</f>
        <v>25321.904379347205</v>
      </c>
      <c r="I34" s="135">
        <f t="shared" si="3"/>
        <v>6.0000000000000053E-2</v>
      </c>
      <c r="J34" s="156">
        <f t="shared" si="63"/>
        <v>501433000</v>
      </c>
      <c r="K34" s="156">
        <f t="shared" si="64"/>
        <v>531518980</v>
      </c>
      <c r="L34" s="156">
        <f t="shared" si="65"/>
        <v>563410118.80000007</v>
      </c>
      <c r="M34" s="156">
        <f t="shared" si="66"/>
        <v>597214725.92800009</v>
      </c>
      <c r="N34" s="156">
        <f t="shared" si="66"/>
        <v>633047609.48368013</v>
      </c>
      <c r="O34" s="138">
        <f t="shared" si="1"/>
        <v>6.0000000000000053E-2</v>
      </c>
      <c r="P34" s="156">
        <f>Projecção!K82*'Custos de Produção'!$I$36</f>
        <v>172636406.40000001</v>
      </c>
      <c r="Q34" s="156">
        <f>Projecção!L82*'Custos de Produção'!$I$36</f>
        <v>181268226.72000003</v>
      </c>
      <c r="R34" s="156">
        <f>Projecção!M82*'Custos de Produção'!$I$36</f>
        <v>190331638.05599999</v>
      </c>
      <c r="S34" s="156">
        <f>Projecção!N82*'Custos de Produção'!$I$36</f>
        <v>199848219.95880002</v>
      </c>
      <c r="T34" s="156">
        <f>Projecção!O82*'Custos de Produção'!$I$36</f>
        <v>209840630.95674005</v>
      </c>
      <c r="U34" s="138">
        <f t="shared" si="5"/>
        <v>5.0000000000000044E-2</v>
      </c>
      <c r="V34" s="156">
        <f t="shared" si="67"/>
        <v>328796593.60000002</v>
      </c>
      <c r="W34" s="156">
        <f t="shared" si="68"/>
        <v>350250753.27999997</v>
      </c>
      <c r="X34" s="156">
        <f t="shared" si="69"/>
        <v>373078480.74400008</v>
      </c>
      <c r="Y34" s="156">
        <f t="shared" si="70"/>
        <v>397366505.96920007</v>
      </c>
      <c r="Z34" s="156">
        <f t="shared" si="62"/>
        <v>423206978.52694011</v>
      </c>
      <c r="AA34" s="138">
        <f t="shared" si="11"/>
        <v>6.5139226596968192E-2</v>
      </c>
    </row>
    <row r="35" spans="1:27" s="99" customFormat="1" ht="14.25">
      <c r="A35" s="159">
        <f t="shared" si="71"/>
        <v>26</v>
      </c>
      <c r="B35" s="168" t="s">
        <v>126</v>
      </c>
      <c r="C35" s="167">
        <f>Projecção!G132</f>
        <v>20000</v>
      </c>
      <c r="D35" s="157">
        <f>Projecção!K35</f>
        <v>1091.8</v>
      </c>
      <c r="E35" s="157">
        <f>Projecção!L35</f>
        <v>1157.308</v>
      </c>
      <c r="F35" s="157">
        <f>Projecção!M35</f>
        <v>1226.74648</v>
      </c>
      <c r="G35" s="157">
        <f>Projecção!N35</f>
        <v>1300.3512688000001</v>
      </c>
      <c r="H35" s="157">
        <f>Projecção!O35</f>
        <v>1378.3723449280001</v>
      </c>
      <c r="I35" s="135">
        <f t="shared" si="3"/>
        <v>6.0000000000000053E-2</v>
      </c>
      <c r="J35" s="156">
        <f t="shared" si="63"/>
        <v>21836000</v>
      </c>
      <c r="K35" s="156">
        <f t="shared" si="64"/>
        <v>23146160</v>
      </c>
      <c r="L35" s="156">
        <f t="shared" si="65"/>
        <v>24534929.600000001</v>
      </c>
      <c r="M35" s="156">
        <f t="shared" si="66"/>
        <v>26007025.376000002</v>
      </c>
      <c r="N35" s="156">
        <f t="shared" si="66"/>
        <v>27567446.898560002</v>
      </c>
      <c r="O35" s="138">
        <f t="shared" si="1"/>
        <v>6.0000000000000053E-2</v>
      </c>
      <c r="P35" s="156">
        <f>Projecção!K83*'Custos de Produção'!$I$37</f>
        <v>18520323.800000001</v>
      </c>
      <c r="Q35" s="156">
        <f>Projecção!L83*'Custos de Produção'!$I$37</f>
        <v>19446339.989999998</v>
      </c>
      <c r="R35" s="156">
        <f>Projecção!M83*'Custos de Produção'!$I$37</f>
        <v>20418656.989500001</v>
      </c>
      <c r="S35" s="156">
        <f>Projecção!N83*'Custos de Produção'!$I$37</f>
        <v>21439589.838975001</v>
      </c>
      <c r="T35" s="156">
        <f>Projecção!O83*'Custos de Produção'!$I$37</f>
        <v>22511569.330923751</v>
      </c>
      <c r="U35" s="138">
        <f t="shared" si="5"/>
        <v>4.9999999999999989E-2</v>
      </c>
      <c r="V35" s="156">
        <f t="shared" si="67"/>
        <v>3315676.1999999993</v>
      </c>
      <c r="W35" s="156">
        <f t="shared" si="68"/>
        <v>3699820.0100000016</v>
      </c>
      <c r="X35" s="156">
        <f t="shared" si="69"/>
        <v>4116272.6105000004</v>
      </c>
      <c r="Y35" s="156">
        <f t="shared" si="70"/>
        <v>4567435.5370250009</v>
      </c>
      <c r="Z35" s="156">
        <f t="shared" si="62"/>
        <v>5055877.5676362514</v>
      </c>
      <c r="AA35" s="138">
        <f t="shared" si="11"/>
        <v>0.11124047851606772</v>
      </c>
    </row>
    <row r="36" spans="1:27" s="99" customFormat="1" ht="14.25">
      <c r="A36" s="159">
        <f t="shared" si="71"/>
        <v>27</v>
      </c>
      <c r="B36" s="168" t="s">
        <v>127</v>
      </c>
      <c r="C36" s="167">
        <f>Projecção!G133</f>
        <v>65000</v>
      </c>
      <c r="D36" s="157">
        <f>Projecção!K36</f>
        <v>5331.8</v>
      </c>
      <c r="E36" s="157">
        <f>Projecção!L36</f>
        <v>5651.7080000000005</v>
      </c>
      <c r="F36" s="157">
        <f>Projecção!M36</f>
        <v>5990.8104800000001</v>
      </c>
      <c r="G36" s="157">
        <f>Projecção!N36</f>
        <v>6350.2591087999999</v>
      </c>
      <c r="H36" s="157">
        <f>Projecção!O36</f>
        <v>6731.2746553279994</v>
      </c>
      <c r="I36" s="135">
        <f t="shared" si="3"/>
        <v>5.9999999999999942E-2</v>
      </c>
      <c r="J36" s="156">
        <f t="shared" si="63"/>
        <v>346567000</v>
      </c>
      <c r="K36" s="156">
        <f t="shared" si="64"/>
        <v>367361020.00000006</v>
      </c>
      <c r="L36" s="156">
        <f t="shared" si="65"/>
        <v>389402681.19999999</v>
      </c>
      <c r="M36" s="156">
        <f t="shared" si="66"/>
        <v>412766842.07199997</v>
      </c>
      <c r="N36" s="156">
        <f t="shared" si="66"/>
        <v>437532852.59631997</v>
      </c>
      <c r="O36" s="138">
        <f t="shared" si="1"/>
        <v>6.0000000000000053E-2</v>
      </c>
      <c r="P36" s="156">
        <f>Projecção!K84*'Custos de Produção'!$I$38</f>
        <v>197527125</v>
      </c>
      <c r="Q36" s="156">
        <f>Projecção!L84*'Custos de Produção'!$I$38</f>
        <v>207403481.25</v>
      </c>
      <c r="R36" s="156">
        <f>Projecção!M84*'Custos de Produção'!$I$38</f>
        <v>217773655.3125</v>
      </c>
      <c r="S36" s="156">
        <f>Projecção!N84*'Custos de Produção'!$I$38</f>
        <v>228662338.078125</v>
      </c>
      <c r="T36" s="156">
        <f>Projecção!O84*'Custos de Produção'!$I$38</f>
        <v>240095454.98203126</v>
      </c>
      <c r="U36" s="138">
        <f t="shared" si="5"/>
        <v>5.0000000000000044E-2</v>
      </c>
      <c r="V36" s="156">
        <f t="shared" si="67"/>
        <v>149039875</v>
      </c>
      <c r="W36" s="156">
        <f t="shared" si="68"/>
        <v>159957538.75000006</v>
      </c>
      <c r="X36" s="156">
        <f t="shared" si="69"/>
        <v>171629025.88749999</v>
      </c>
      <c r="Y36" s="156">
        <f t="shared" si="70"/>
        <v>184104503.99387497</v>
      </c>
      <c r="Z36" s="156">
        <f t="shared" si="62"/>
        <v>197437397.61428872</v>
      </c>
      <c r="AA36" s="138">
        <f t="shared" si="11"/>
        <v>7.2832084699679833E-2</v>
      </c>
    </row>
    <row r="37" spans="1:27" s="99" customFormat="1" ht="14.25">
      <c r="A37" s="159">
        <f t="shared" si="71"/>
        <v>28</v>
      </c>
      <c r="B37" s="168" t="s">
        <v>21</v>
      </c>
      <c r="C37" s="167">
        <f>Projecção!G134</f>
        <v>60000</v>
      </c>
      <c r="D37" s="157">
        <f>Projecção!K37</f>
        <v>7575</v>
      </c>
      <c r="E37" s="157">
        <f>Projecção!L37</f>
        <v>7650.75</v>
      </c>
      <c r="F37" s="157">
        <f>Projecção!M37</f>
        <v>7727.2574999999997</v>
      </c>
      <c r="G37" s="157">
        <f>Projecção!N37</f>
        <v>7804.5300749999997</v>
      </c>
      <c r="H37" s="157">
        <f>Projecção!O37</f>
        <v>7882.5753757499997</v>
      </c>
      <c r="I37" s="135">
        <f t="shared" si="3"/>
        <v>1.0000000000000009E-2</v>
      </c>
      <c r="J37" s="156">
        <f t="shared" si="63"/>
        <v>454500000</v>
      </c>
      <c r="K37" s="156">
        <f t="shared" si="64"/>
        <v>459045000</v>
      </c>
      <c r="L37" s="156">
        <f t="shared" si="65"/>
        <v>463635450</v>
      </c>
      <c r="M37" s="156">
        <f t="shared" si="66"/>
        <v>468271804.5</v>
      </c>
      <c r="N37" s="156">
        <f t="shared" si="66"/>
        <v>472954522.54499996</v>
      </c>
      <c r="O37" s="138">
        <f t="shared" si="1"/>
        <v>1.0000000000000009E-2</v>
      </c>
      <c r="P37" s="156">
        <f>Projecção!K85*'Custos de Produção'!$I$39</f>
        <v>62832000</v>
      </c>
      <c r="Q37" s="156">
        <f>Projecção!L85*'Custos de Produção'!$I$39</f>
        <v>63460320</v>
      </c>
      <c r="R37" s="156">
        <f>Projecção!M85*'Custos de Produção'!$I$39</f>
        <v>64094923.200000003</v>
      </c>
      <c r="S37" s="156">
        <f>Projecção!N85*'Custos de Produção'!$I$39</f>
        <v>64735872.432000004</v>
      </c>
      <c r="T37" s="156">
        <f>Projecção!O85*'Custos de Produção'!$I$39</f>
        <v>65383231.156320006</v>
      </c>
      <c r="U37" s="138">
        <f t="shared" si="5"/>
        <v>1.0000000000000009E-2</v>
      </c>
      <c r="V37" s="156">
        <f t="shared" si="67"/>
        <v>391668000</v>
      </c>
      <c r="W37" s="156">
        <f t="shared" si="68"/>
        <v>395584680</v>
      </c>
      <c r="X37" s="156">
        <f t="shared" si="69"/>
        <v>399540526.80000001</v>
      </c>
      <c r="Y37" s="156">
        <f t="shared" si="70"/>
        <v>403535932.06800002</v>
      </c>
      <c r="Z37" s="156">
        <f t="shared" si="62"/>
        <v>407571291.38867998</v>
      </c>
      <c r="AA37" s="138">
        <f t="shared" si="11"/>
        <v>1.0000000000000009E-2</v>
      </c>
    </row>
    <row r="38" spans="1:27" s="99" customFormat="1" ht="14.25">
      <c r="A38" s="159">
        <f t="shared" si="71"/>
        <v>29</v>
      </c>
      <c r="B38" s="168" t="s">
        <v>128</v>
      </c>
      <c r="C38" s="167">
        <f>Projecção!G135</f>
        <v>60000</v>
      </c>
      <c r="D38" s="157">
        <f>Projecção!K38</f>
        <v>32421</v>
      </c>
      <c r="E38" s="157">
        <f>Projecção!L38</f>
        <v>32745.21</v>
      </c>
      <c r="F38" s="157">
        <f>Projecção!M38</f>
        <v>33072.662100000001</v>
      </c>
      <c r="G38" s="157">
        <f>Projecção!N38</f>
        <v>33403.388721000003</v>
      </c>
      <c r="H38" s="157">
        <f>Projecção!O38</f>
        <v>33737.422608209999</v>
      </c>
      <c r="I38" s="135">
        <f t="shared" si="3"/>
        <v>9.9999999999999534E-3</v>
      </c>
      <c r="J38" s="156">
        <f t="shared" si="63"/>
        <v>1945260000</v>
      </c>
      <c r="K38" s="156">
        <f t="shared" si="64"/>
        <v>1964712600</v>
      </c>
      <c r="L38" s="156">
        <f t="shared" si="65"/>
        <v>1984359726</v>
      </c>
      <c r="M38" s="156">
        <f t="shared" si="66"/>
        <v>2004203323.2600002</v>
      </c>
      <c r="N38" s="156">
        <f t="shared" si="66"/>
        <v>2024245356.4926</v>
      </c>
      <c r="O38" s="138">
        <f t="shared" si="1"/>
        <v>9.9999999999999534E-3</v>
      </c>
      <c r="P38" s="156">
        <f>Projecção!K86*'Custos de Produção'!$I$40</f>
        <v>992921910</v>
      </c>
      <c r="Q38" s="156">
        <f>Projecção!L86*'Custos de Produção'!$I$40</f>
        <v>1002851129.0999999</v>
      </c>
      <c r="R38" s="156">
        <f>Projecção!M86*'Custos de Produção'!$I$40</f>
        <v>1012879640.391</v>
      </c>
      <c r="S38" s="156">
        <f>Projecção!N86*'Custos de Produção'!$I$40</f>
        <v>1023008436.7949101</v>
      </c>
      <c r="T38" s="156">
        <f>Projecção!O86*'Custos de Produção'!$I$40</f>
        <v>1033238521.1628592</v>
      </c>
      <c r="U38" s="138">
        <f t="shared" si="5"/>
        <v>1.0000000000000064E-2</v>
      </c>
      <c r="V38" s="156">
        <f t="shared" si="67"/>
        <v>952338090</v>
      </c>
      <c r="W38" s="156">
        <f t="shared" si="68"/>
        <v>961861470.9000001</v>
      </c>
      <c r="X38" s="156">
        <f t="shared" si="69"/>
        <v>971480085.60899997</v>
      </c>
      <c r="Y38" s="156">
        <f t="shared" si="70"/>
        <v>981194886.46509016</v>
      </c>
      <c r="Z38" s="156">
        <f t="shared" si="62"/>
        <v>991006835.32974076</v>
      </c>
      <c r="AA38" s="138">
        <f t="shared" si="11"/>
        <v>9.9999999999999534E-3</v>
      </c>
    </row>
    <row r="39" spans="1:27" ht="15" customHeight="1">
      <c r="A39" s="317" t="s">
        <v>5</v>
      </c>
      <c r="B39" s="318"/>
      <c r="C39" s="319"/>
      <c r="D39" s="150">
        <f>SUM(D25:D38)+D10+D14+D17+D20+D24</f>
        <v>28702048.806343306</v>
      </c>
      <c r="E39" s="150">
        <f t="shared" ref="E39:G39" si="72">SUM(E25:E38)+E10+E14+E17+E20+E24</f>
        <v>29691190.014684573</v>
      </c>
      <c r="F39" s="150">
        <f t="shared" si="72"/>
        <v>30465470.31863277</v>
      </c>
      <c r="G39" s="150">
        <f t="shared" si="72"/>
        <v>31325719.18149586</v>
      </c>
      <c r="H39" s="150">
        <f>SUM(H25:H38)+H10+H14+H17+H20+H24</f>
        <v>32260233.544355277</v>
      </c>
      <c r="I39" s="148">
        <f>((E39/D39-1)+(F39/E39-1)+(G39/F39-1)+(H39/G39-1))/4</f>
        <v>2.9652298456847248E-2</v>
      </c>
      <c r="J39" s="150">
        <f>SUM(J25:J38)+J10+J14+J17+J20+J24</f>
        <v>443651550634.53735</v>
      </c>
      <c r="K39" s="150">
        <f t="shared" ref="K39:N39" si="73">SUM(K25:K38)+K10+K14+K17+K20+K24</f>
        <v>476630018006.65833</v>
      </c>
      <c r="L39" s="150">
        <f t="shared" si="73"/>
        <v>495677524588.17932</v>
      </c>
      <c r="M39" s="150">
        <f t="shared" si="73"/>
        <v>530620341420.76605</v>
      </c>
      <c r="N39" s="150">
        <f t="shared" si="73"/>
        <v>570471360578.4314</v>
      </c>
      <c r="O39" s="148">
        <f t="shared" si="1"/>
        <v>6.4973699736175727E-2</v>
      </c>
      <c r="P39" s="150">
        <f t="shared" ref="P39:S39" si="74">SUM(P25:P38)+P10+P14+P17+P20+P24</f>
        <v>127036229910.51791</v>
      </c>
      <c r="Q39" s="150">
        <f t="shared" si="74"/>
        <v>130647383720.56543</v>
      </c>
      <c r="R39" s="150">
        <f t="shared" si="74"/>
        <v>134632041174.03635</v>
      </c>
      <c r="S39" s="150">
        <f t="shared" si="74"/>
        <v>138987030397.07828</v>
      </c>
      <c r="T39" s="150">
        <f>SUM(T25:T38)+T10+T14+T17+T20+T24</f>
        <v>143737277268.46121</v>
      </c>
      <c r="U39" s="148">
        <f t="shared" si="5"/>
        <v>3.1362618498013639E-2</v>
      </c>
      <c r="V39" s="150">
        <f t="shared" ref="V39:Y39" si="75">SUM(V25:V38)+V10+V14+V17+V20+V24</f>
        <v>316615320724.01941</v>
      </c>
      <c r="W39" s="150">
        <f t="shared" si="75"/>
        <v>345982634286.09283</v>
      </c>
      <c r="X39" s="150">
        <f t="shared" si="75"/>
        <v>361045483414.14288</v>
      </c>
      <c r="Y39" s="150">
        <f t="shared" si="75"/>
        <v>391633311023.68781</v>
      </c>
      <c r="Z39" s="150">
        <f>SUM(Z25:Z38)+Z10+Z14+Z17+Z20+Z24</f>
        <v>426734083309.97009</v>
      </c>
      <c r="AA39" s="148">
        <f t="shared" si="11"/>
        <v>7.7659282974049171E-2</v>
      </c>
    </row>
    <row r="40" spans="1:27" ht="14.25">
      <c r="A40" s="132"/>
      <c r="B40" s="132"/>
      <c r="C40" s="132"/>
      <c r="D40" s="132"/>
      <c r="E40" s="132"/>
      <c r="F40" s="132"/>
      <c r="G40" s="132"/>
      <c r="H40" s="132"/>
      <c r="I40" s="133"/>
      <c r="J40" s="132"/>
      <c r="K40" s="132"/>
      <c r="L40" s="132"/>
      <c r="M40" s="132"/>
      <c r="N40" s="134"/>
      <c r="O40" s="133"/>
      <c r="P40" s="132"/>
      <c r="Q40" s="132"/>
      <c r="R40" s="132"/>
      <c r="S40" s="132"/>
      <c r="T40" s="132"/>
      <c r="U40" s="133"/>
      <c r="V40" s="132"/>
      <c r="W40" s="133">
        <f>W39/V39-1</f>
        <v>9.2753924525565523E-2</v>
      </c>
      <c r="X40" s="133">
        <f t="shared" ref="X40:Z40" si="76">X39/W39-1</f>
        <v>4.3536431125021702E-2</v>
      </c>
      <c r="Y40" s="133">
        <f t="shared" si="76"/>
        <v>8.4720150271091033E-2</v>
      </c>
      <c r="Z40" s="133">
        <f t="shared" si="76"/>
        <v>8.9626625974518426E-2</v>
      </c>
      <c r="AA40" s="133"/>
    </row>
    <row r="41" spans="1:27" ht="14.25">
      <c r="A41" s="132"/>
      <c r="B41" s="132"/>
      <c r="C41" s="132"/>
      <c r="D41" s="132"/>
      <c r="E41" s="132"/>
      <c r="F41" s="132"/>
      <c r="G41" s="132"/>
      <c r="H41" s="132"/>
      <c r="I41" s="133"/>
      <c r="J41" s="132"/>
      <c r="K41" s="132"/>
      <c r="L41" s="132"/>
      <c r="M41" s="132"/>
      <c r="N41" s="134"/>
      <c r="O41" s="133"/>
      <c r="P41" s="132"/>
      <c r="Q41" s="132"/>
      <c r="R41" s="132"/>
      <c r="S41" s="132"/>
      <c r="T41" s="132"/>
      <c r="U41" s="133"/>
      <c r="V41" s="151">
        <f>V39/60</f>
        <v>5276922012.0669899</v>
      </c>
      <c r="W41" s="151">
        <f t="shared" ref="W41:Z41" si="77">W39/60</f>
        <v>5766377238.1015472</v>
      </c>
      <c r="X41" s="151">
        <f t="shared" si="77"/>
        <v>6017424723.5690479</v>
      </c>
      <c r="Y41" s="151">
        <f t="shared" si="77"/>
        <v>6527221850.3947964</v>
      </c>
      <c r="Z41" s="151">
        <f t="shared" si="77"/>
        <v>7112234721.8328352</v>
      </c>
      <c r="AA41" s="133"/>
    </row>
    <row r="42" spans="1:27" ht="14.25">
      <c r="A42" s="132"/>
      <c r="B42" s="132"/>
      <c r="C42" s="132"/>
      <c r="D42" s="132"/>
      <c r="E42" s="132"/>
      <c r="F42" s="132"/>
      <c r="G42" s="132"/>
      <c r="H42" s="132"/>
      <c r="I42" s="133"/>
      <c r="J42" s="132"/>
      <c r="K42" s="132"/>
      <c r="L42" s="132"/>
      <c r="M42" s="132"/>
      <c r="N42" s="134"/>
      <c r="O42" s="133"/>
      <c r="P42" s="132"/>
      <c r="Q42" s="132"/>
      <c r="R42" s="132"/>
      <c r="S42" s="132"/>
      <c r="T42" s="140"/>
      <c r="U42" s="133"/>
      <c r="V42" s="132"/>
      <c r="W42" s="132"/>
      <c r="X42" s="132"/>
      <c r="Y42" s="132"/>
      <c r="Z42" s="132"/>
      <c r="AA42" s="133"/>
    </row>
    <row r="43" spans="1:27" ht="15" thickBot="1">
      <c r="A43" s="132"/>
      <c r="B43" s="132"/>
      <c r="C43" s="132"/>
      <c r="D43" s="132"/>
      <c r="E43" s="132"/>
      <c r="F43" s="132"/>
      <c r="G43" s="132"/>
      <c r="H43" s="132"/>
      <c r="I43" s="133"/>
      <c r="J43" s="132"/>
      <c r="K43" s="132"/>
      <c r="L43" s="132"/>
      <c r="M43" s="132"/>
      <c r="N43" s="134"/>
      <c r="O43" s="133"/>
      <c r="P43" s="132"/>
      <c r="Q43" s="132"/>
      <c r="R43" s="132"/>
      <c r="S43" s="132"/>
      <c r="T43" s="132"/>
      <c r="U43" s="133"/>
      <c r="V43" s="140"/>
      <c r="W43" s="140"/>
      <c r="X43" s="140"/>
      <c r="Y43" s="140"/>
      <c r="Z43" s="140"/>
      <c r="AA43" s="133"/>
    </row>
    <row r="44" spans="1:27" ht="14.45" customHeight="1">
      <c r="A44" s="312" t="s">
        <v>115</v>
      </c>
      <c r="B44" s="307" t="s">
        <v>116</v>
      </c>
      <c r="C44" s="315" t="s">
        <v>173</v>
      </c>
      <c r="D44" s="307" t="s">
        <v>174</v>
      </c>
      <c r="E44" s="307"/>
      <c r="F44" s="307"/>
      <c r="G44" s="307"/>
      <c r="H44" s="307"/>
      <c r="I44" s="307"/>
      <c r="J44" s="307" t="s">
        <v>177</v>
      </c>
      <c r="K44" s="307"/>
      <c r="L44" s="307"/>
      <c r="M44" s="307"/>
      <c r="N44" s="307"/>
      <c r="O44" s="307"/>
      <c r="P44" s="307" t="s">
        <v>176</v>
      </c>
      <c r="Q44" s="307"/>
      <c r="R44" s="307"/>
      <c r="S44" s="307"/>
      <c r="T44" s="307"/>
      <c r="U44" s="307"/>
      <c r="V44" s="307" t="s">
        <v>175</v>
      </c>
      <c r="W44" s="307"/>
      <c r="X44" s="307"/>
      <c r="Y44" s="307"/>
      <c r="Z44" s="307"/>
      <c r="AA44" s="308"/>
    </row>
    <row r="45" spans="1:27" ht="30.75" thickBot="1">
      <c r="A45" s="313"/>
      <c r="B45" s="314"/>
      <c r="C45" s="316"/>
      <c r="D45" s="126">
        <v>2020</v>
      </c>
      <c r="E45" s="126">
        <v>2021</v>
      </c>
      <c r="F45" s="126">
        <v>2022</v>
      </c>
      <c r="G45" s="126">
        <v>2023</v>
      </c>
      <c r="H45" s="126">
        <v>2024</v>
      </c>
      <c r="I45" s="127" t="s">
        <v>117</v>
      </c>
      <c r="J45" s="126">
        <v>2020</v>
      </c>
      <c r="K45" s="126">
        <v>2021</v>
      </c>
      <c r="L45" s="126">
        <v>2022</v>
      </c>
      <c r="M45" s="126">
        <v>2023</v>
      </c>
      <c r="N45" s="126">
        <v>2024</v>
      </c>
      <c r="O45" s="127" t="s">
        <v>117</v>
      </c>
      <c r="P45" s="126">
        <v>2020</v>
      </c>
      <c r="Q45" s="126">
        <v>2021</v>
      </c>
      <c r="R45" s="126">
        <v>2022</v>
      </c>
      <c r="S45" s="126">
        <v>2023</v>
      </c>
      <c r="T45" s="126">
        <v>2024</v>
      </c>
      <c r="U45" s="127" t="s">
        <v>117</v>
      </c>
      <c r="V45" s="126">
        <v>2020</v>
      </c>
      <c r="W45" s="126">
        <v>2021</v>
      </c>
      <c r="X45" s="126">
        <v>2022</v>
      </c>
      <c r="Y45" s="126">
        <v>2023</v>
      </c>
      <c r="Z45" s="126">
        <v>2024</v>
      </c>
      <c r="AA45" s="127" t="s">
        <v>117</v>
      </c>
    </row>
    <row r="46" spans="1:27" ht="14.25">
      <c r="A46" s="144">
        <v>1</v>
      </c>
      <c r="B46" s="145" t="s">
        <v>163</v>
      </c>
      <c r="C46" s="146">
        <f>Projecção!G139</f>
        <v>25000</v>
      </c>
      <c r="D46" s="146">
        <f>Projecção!K90</f>
        <v>2215700.5500000003</v>
      </c>
      <c r="E46" s="146">
        <f>Projecção!L90</f>
        <v>2326485.5775000006</v>
      </c>
      <c r="F46" s="146">
        <f>Projecção!M90</f>
        <v>2442809.8563750009</v>
      </c>
      <c r="G46" s="146">
        <f>Projecção!N90</f>
        <v>2564950.3491937509</v>
      </c>
      <c r="H46" s="146">
        <f>Projecção!O90</f>
        <v>2693197.8666534387</v>
      </c>
      <c r="I46" s="138">
        <f t="shared" ref="I46:I51" si="78">((E46/D46-1)+(F46/E46-1)+(G46/F46-1)+(H46/G46-1))/4</f>
        <v>5.0000000000000044E-2</v>
      </c>
      <c r="J46" s="152">
        <f>+D46*C46</f>
        <v>55392513750.000008</v>
      </c>
      <c r="K46" s="152">
        <f t="shared" ref="K46:K50" si="79">+C46*E46</f>
        <v>58162139437.500015</v>
      </c>
      <c r="L46" s="152">
        <f t="shared" ref="L46:L50" si="80">+C46*F46</f>
        <v>61070246409.375023</v>
      </c>
      <c r="M46" s="152">
        <f t="shared" ref="M46:M50" si="81">+C46*G46</f>
        <v>64123758729.843773</v>
      </c>
      <c r="N46" s="152">
        <f t="shared" ref="N46:N50" si="82">+C46*H46</f>
        <v>67329946666.335968</v>
      </c>
      <c r="O46" s="138">
        <f t="shared" ref="O46:O51" si="83">((K46/J46-1)+(L46/K46-1)+(M46/L46-1)+(N46/M46-1))/4</f>
        <v>5.0000000000000044E-2</v>
      </c>
      <c r="P46" s="146">
        <f>D46*'Custos de Produção'!$H46</f>
        <v>1100327971.6327503</v>
      </c>
      <c r="Q46" s="146">
        <f>E46*'Custos de Produção'!$H46</f>
        <v>1155344370.2143879</v>
      </c>
      <c r="R46" s="146">
        <f>F46*'Custos de Produção'!$H46</f>
        <v>1213111588.7251074</v>
      </c>
      <c r="S46" s="146">
        <f>G46*'Custos de Produção'!$H46</f>
        <v>1273767168.1613626</v>
      </c>
      <c r="T46" s="146">
        <f>H46*'Custos de Produção'!$H46</f>
        <v>1337455526.5694311</v>
      </c>
      <c r="U46" s="138">
        <f t="shared" ref="U46:U51" si="84">((Q46/P46-1)+(R46/Q46-1)+(S46/R46-1)+(T46/S46-1))/4</f>
        <v>5.0000000000000044E-2</v>
      </c>
      <c r="V46" s="146">
        <f>J46-P46</f>
        <v>54292185778.367256</v>
      </c>
      <c r="W46" s="146">
        <f t="shared" ref="W46:Z50" si="85">K46-Q46</f>
        <v>57006795067.285629</v>
      </c>
      <c r="X46" s="146">
        <f t="shared" si="85"/>
        <v>59857134820.649918</v>
      </c>
      <c r="Y46" s="146">
        <f t="shared" si="85"/>
        <v>62849991561.682411</v>
      </c>
      <c r="Z46" s="146">
        <f t="shared" si="85"/>
        <v>65992491139.766541</v>
      </c>
      <c r="AA46" s="138">
        <f t="shared" ref="AA46:AA51" si="86">((W46/V46-1)+(X46/W46-1)+(Y46/X46-1)+(Z46/Y46-1))/4</f>
        <v>5.00000000000001E-2</v>
      </c>
    </row>
    <row r="47" spans="1:27" ht="14.25">
      <c r="A47" s="144">
        <v>2</v>
      </c>
      <c r="B47" s="145" t="s">
        <v>164</v>
      </c>
      <c r="C47" s="146">
        <f>Projecção!G140</f>
        <v>2100</v>
      </c>
      <c r="D47" s="146">
        <f>Projecção!K91</f>
        <v>4831835.4000000004</v>
      </c>
      <c r="E47" s="146">
        <f>Projecção!L91</f>
        <v>5073427.1700000009</v>
      </c>
      <c r="F47" s="146">
        <f>Projecção!M91</f>
        <v>5327098.5285000009</v>
      </c>
      <c r="G47" s="146">
        <f>Projecção!N91</f>
        <v>5593453.4549250016</v>
      </c>
      <c r="H47" s="146">
        <f>Projecção!O91</f>
        <v>5873126.127671252</v>
      </c>
      <c r="I47" s="138">
        <f t="shared" si="78"/>
        <v>5.0000000000000044E-2</v>
      </c>
      <c r="J47" s="152">
        <f t="shared" ref="J47:J50" si="87">+D47*C47</f>
        <v>10146854340</v>
      </c>
      <c r="K47" s="152">
        <f t="shared" si="79"/>
        <v>10654197057.000002</v>
      </c>
      <c r="L47" s="152">
        <f t="shared" si="80"/>
        <v>11186906909.850002</v>
      </c>
      <c r="M47" s="152">
        <f t="shared" si="81"/>
        <v>11746252255.342503</v>
      </c>
      <c r="N47" s="152">
        <f t="shared" si="82"/>
        <v>12333564868.109629</v>
      </c>
      <c r="O47" s="138">
        <f t="shared" si="83"/>
        <v>5.00000000000001E-2</v>
      </c>
      <c r="P47" s="146">
        <f>Projecção!K91*'Custos de Produção'!$H48</f>
        <v>2160434403.2250004</v>
      </c>
      <c r="Q47" s="146">
        <f>Projecção!L91*'Custos de Produção'!$H48</f>
        <v>2268456123.3862505</v>
      </c>
      <c r="R47" s="146">
        <f>Projecção!M91*'Custos de Produção'!$H48</f>
        <v>2381878929.555563</v>
      </c>
      <c r="S47" s="146">
        <f>Projecção!N91*'Custos de Produção'!$H48</f>
        <v>2500972876.0333414</v>
      </c>
      <c r="T47" s="146">
        <f>Projecção!O91*'Custos de Produção'!$H48</f>
        <v>2626021519.8350086</v>
      </c>
      <c r="U47" s="138">
        <f t="shared" si="84"/>
        <v>5.0000000000000044E-2</v>
      </c>
      <c r="V47" s="146">
        <f t="shared" ref="V47:V50" si="88">J47-P47</f>
        <v>7986419936.7749996</v>
      </c>
      <c r="W47" s="146">
        <f t="shared" si="85"/>
        <v>8385740933.6137514</v>
      </c>
      <c r="X47" s="146">
        <f t="shared" si="85"/>
        <v>8805027980.2944393</v>
      </c>
      <c r="Y47" s="146">
        <f t="shared" si="85"/>
        <v>9245279379.3091621</v>
      </c>
      <c r="Z47" s="146">
        <f t="shared" si="85"/>
        <v>9707543348.2746201</v>
      </c>
      <c r="AA47" s="138">
        <f t="shared" si="86"/>
        <v>5.00000000000001E-2</v>
      </c>
    </row>
    <row r="48" spans="1:27" ht="14.25">
      <c r="A48" s="144">
        <v>3</v>
      </c>
      <c r="B48" s="145" t="s">
        <v>165</v>
      </c>
      <c r="C48" s="146">
        <f>Projecção!G141</f>
        <v>6000</v>
      </c>
      <c r="D48" s="146">
        <f>Projecção!K92</f>
        <v>5182484.5684233606</v>
      </c>
      <c r="E48" s="146">
        <f>Projecção!L92</f>
        <v>6128335.2622294547</v>
      </c>
      <c r="F48" s="146">
        <f>Projecção!M92</f>
        <v>7246812.3330486966</v>
      </c>
      <c r="G48" s="146">
        <f>Projecção!N92</f>
        <v>8569421.6688989624</v>
      </c>
      <c r="H48" s="146">
        <f>Projecção!O92</f>
        <v>10133419.269669615</v>
      </c>
      <c r="I48" s="138">
        <f t="shared" si="78"/>
        <v>0.18250911919142393</v>
      </c>
      <c r="J48" s="152">
        <f t="shared" si="87"/>
        <v>31094907410.540165</v>
      </c>
      <c r="K48" s="152">
        <f t="shared" si="79"/>
        <v>36770011573.376732</v>
      </c>
      <c r="L48" s="152">
        <f t="shared" si="80"/>
        <v>43480873998.292183</v>
      </c>
      <c r="M48" s="152">
        <f t="shared" si="81"/>
        <v>51416530013.393776</v>
      </c>
      <c r="N48" s="152">
        <f t="shared" si="82"/>
        <v>60800515618.017685</v>
      </c>
      <c r="O48" s="138">
        <f t="shared" si="83"/>
        <v>0.18250911919142387</v>
      </c>
      <c r="P48" s="146">
        <f>D48*'Custos de Produção'!$H50</f>
        <v>28350781831.559994</v>
      </c>
      <c r="Q48" s="146">
        <f>E48*'Custos de Produção'!$H50</f>
        <v>33525058052.026234</v>
      </c>
      <c r="R48" s="146">
        <f>F48*'Custos de Produção'!$H50</f>
        <v>39643686867.942894</v>
      </c>
      <c r="S48" s="146">
        <f>G48*'Custos de Produção'!$H50</f>
        <v>46879021239.711777</v>
      </c>
      <c r="T48" s="146">
        <f>H48*'Custos de Produção'!$H50</f>
        <v>55434870114.727631</v>
      </c>
      <c r="U48" s="138">
        <f t="shared" si="84"/>
        <v>0.18250911919142399</v>
      </c>
      <c r="V48" s="146">
        <f t="shared" si="88"/>
        <v>2744125578.9801712</v>
      </c>
      <c r="W48" s="146">
        <f t="shared" si="85"/>
        <v>3244953521.3504982</v>
      </c>
      <c r="X48" s="146">
        <f t="shared" si="85"/>
        <v>3837187130.3492889</v>
      </c>
      <c r="Y48" s="146">
        <f t="shared" si="85"/>
        <v>4537508773.6819992</v>
      </c>
      <c r="Z48" s="146">
        <f t="shared" si="85"/>
        <v>5365645503.2900543</v>
      </c>
      <c r="AA48" s="138">
        <f t="shared" si="86"/>
        <v>0.18250911919142343</v>
      </c>
    </row>
    <row r="49" spans="1:27" ht="14.25">
      <c r="A49" s="144">
        <v>4</v>
      </c>
      <c r="B49" s="145" t="s">
        <v>149</v>
      </c>
      <c r="C49" s="153">
        <f>Projecção!G142</f>
        <v>180</v>
      </c>
      <c r="D49" s="146">
        <f>Projecção!K93</f>
        <v>94576898.5</v>
      </c>
      <c r="E49" s="146">
        <f>Projecção!L93</f>
        <v>104034588.34999999</v>
      </c>
      <c r="F49" s="146">
        <f>Projecção!M93</f>
        <v>114438047.18500002</v>
      </c>
      <c r="G49" s="146">
        <f>Projecção!N93</f>
        <v>125881851.90350002</v>
      </c>
      <c r="H49" s="146">
        <f>Projecção!O93</f>
        <v>138470037.09385005</v>
      </c>
      <c r="I49" s="138">
        <f t="shared" si="78"/>
        <v>0.10000000000000009</v>
      </c>
      <c r="J49" s="152">
        <f t="shared" si="87"/>
        <v>17023841730</v>
      </c>
      <c r="K49" s="152">
        <f t="shared" si="79"/>
        <v>18726225903</v>
      </c>
      <c r="L49" s="152">
        <f t="shared" si="80"/>
        <v>20598848493.300003</v>
      </c>
      <c r="M49" s="152">
        <f t="shared" si="81"/>
        <v>22658733342.630005</v>
      </c>
      <c r="N49" s="152">
        <f t="shared" si="82"/>
        <v>24924606676.893009</v>
      </c>
      <c r="O49" s="138">
        <f t="shared" si="83"/>
        <v>0.10000000000000009</v>
      </c>
      <c r="P49" s="146">
        <f>D49*'Custos de Produção'!$H52</f>
        <v>14564842369</v>
      </c>
      <c r="Q49" s="146">
        <f>E49*'Custos de Produção'!$H52</f>
        <v>16021326605.9</v>
      </c>
      <c r="R49" s="146">
        <f>F49*'Custos de Produção'!$H52</f>
        <v>17623459266.490002</v>
      </c>
      <c r="S49" s="146">
        <f>G49*'Custos de Produção'!$H52</f>
        <v>19385805193.139004</v>
      </c>
      <c r="T49" s="146">
        <f>H49*'Custos de Produção'!$H52</f>
        <v>21324385712.452908</v>
      </c>
      <c r="U49" s="138">
        <f t="shared" si="84"/>
        <v>0.10000000000000003</v>
      </c>
      <c r="V49" s="146">
        <f t="shared" si="88"/>
        <v>2458999361</v>
      </c>
      <c r="W49" s="146">
        <f t="shared" si="85"/>
        <v>2704899297.1000004</v>
      </c>
      <c r="X49" s="146">
        <f t="shared" si="85"/>
        <v>2975389226.8100014</v>
      </c>
      <c r="Y49" s="146">
        <f t="shared" si="85"/>
        <v>3272928149.4910011</v>
      </c>
      <c r="Z49" s="146">
        <f t="shared" si="85"/>
        <v>3600220964.4401016</v>
      </c>
      <c r="AA49" s="138">
        <f t="shared" si="86"/>
        <v>0.10000000000000009</v>
      </c>
    </row>
    <row r="50" spans="1:27" ht="14.25">
      <c r="A50" s="144">
        <v>5</v>
      </c>
      <c r="B50" s="147" t="s">
        <v>150</v>
      </c>
      <c r="C50" s="146">
        <f>Projecção!G143</f>
        <v>96</v>
      </c>
      <c r="D50" s="146">
        <f>Projecção!K94</f>
        <v>19163459.07</v>
      </c>
      <c r="E50" s="146">
        <f>Projecção!L94</f>
        <v>21079804.977000002</v>
      </c>
      <c r="F50" s="146">
        <f>Projecção!M94</f>
        <v>23187785.474700004</v>
      </c>
      <c r="G50" s="146">
        <f>Projecção!N94</f>
        <v>25506564.022170007</v>
      </c>
      <c r="H50" s="146">
        <f>Projecção!O94</f>
        <v>28057220.424387012</v>
      </c>
      <c r="I50" s="138">
        <f t="shared" si="78"/>
        <v>0.10000000000000009</v>
      </c>
      <c r="J50" s="152">
        <f t="shared" si="87"/>
        <v>1839692070.72</v>
      </c>
      <c r="K50" s="152">
        <f t="shared" si="79"/>
        <v>2023661277.7920003</v>
      </c>
      <c r="L50" s="152">
        <f t="shared" si="80"/>
        <v>2226027405.5712004</v>
      </c>
      <c r="M50" s="152">
        <f t="shared" si="81"/>
        <v>2448630146.1283207</v>
      </c>
      <c r="N50" s="152">
        <f t="shared" si="82"/>
        <v>2693493160.7411532</v>
      </c>
      <c r="O50" s="138">
        <f t="shared" si="83"/>
        <v>0.10000000000000009</v>
      </c>
      <c r="P50" s="146">
        <f>D50*'Custos de Produção'!$H54</f>
        <v>1150574082.5627999</v>
      </c>
      <c r="Q50" s="146">
        <f>E50*'Custos de Produção'!$H54</f>
        <v>1265631490.8190801</v>
      </c>
      <c r="R50" s="146">
        <f>F50*'Custos de Produção'!$H54</f>
        <v>1392194639.9009881</v>
      </c>
      <c r="S50" s="146">
        <f>G50*'Custos de Produção'!$H54</f>
        <v>1531414103.8910873</v>
      </c>
      <c r="T50" s="146">
        <f>H50*'Custos de Produção'!$H54</f>
        <v>1684555514.2801962</v>
      </c>
      <c r="U50" s="138">
        <f t="shared" si="84"/>
        <v>0.10000000000000014</v>
      </c>
      <c r="V50" s="146">
        <f t="shared" si="88"/>
        <v>689117988.1572001</v>
      </c>
      <c r="W50" s="146">
        <f t="shared" si="85"/>
        <v>758029786.97292018</v>
      </c>
      <c r="X50" s="146">
        <f t="shared" si="85"/>
        <v>833832765.67021227</v>
      </c>
      <c r="Y50" s="146">
        <f t="shared" si="85"/>
        <v>917216042.2372334</v>
      </c>
      <c r="Z50" s="146">
        <f t="shared" si="85"/>
        <v>1008937646.4609571</v>
      </c>
      <c r="AA50" s="138">
        <f t="shared" si="86"/>
        <v>0.10000000000000009</v>
      </c>
    </row>
    <row r="51" spans="1:27" ht="15">
      <c r="A51" s="309" t="s">
        <v>5</v>
      </c>
      <c r="B51" s="310"/>
      <c r="C51" s="311"/>
      <c r="D51" s="141">
        <f>SUM(D46:D50)</f>
        <v>125970378.08842337</v>
      </c>
      <c r="E51" s="141">
        <f t="shared" ref="E51:H51" si="89">SUM(E46:E50)</f>
        <v>138642641.33672947</v>
      </c>
      <c r="F51" s="141">
        <f t="shared" si="89"/>
        <v>152642553.37762374</v>
      </c>
      <c r="G51" s="141">
        <f t="shared" si="89"/>
        <v>168116241.39868775</v>
      </c>
      <c r="H51" s="141">
        <f t="shared" si="89"/>
        <v>185227000.78223136</v>
      </c>
      <c r="I51" s="148">
        <f t="shared" si="78"/>
        <v>0.10118173740018133</v>
      </c>
      <c r="J51" s="142">
        <f>SUM(J46:J50)</f>
        <v>115497809301.26018</v>
      </c>
      <c r="K51" s="142">
        <f>SUM(K46:K50)</f>
        <v>126336235248.66875</v>
      </c>
      <c r="L51" s="142">
        <f t="shared" ref="L51:N51" si="90">SUM(L46:L50)</f>
        <v>138562903216.38843</v>
      </c>
      <c r="M51" s="142">
        <f t="shared" si="90"/>
        <v>152393904487.33838</v>
      </c>
      <c r="N51" s="142">
        <f t="shared" si="90"/>
        <v>168082126990.09744</v>
      </c>
      <c r="O51" s="148">
        <f t="shared" si="83"/>
        <v>9.8345613991229985E-2</v>
      </c>
      <c r="P51" s="141">
        <f t="shared" ref="P51:T51" si="91">SUM(P46:P50)</f>
        <v>47326960657.980537</v>
      </c>
      <c r="Q51" s="141">
        <f t="shared" si="91"/>
        <v>54235816642.345947</v>
      </c>
      <c r="R51" s="141">
        <f t="shared" si="91"/>
        <v>62254331292.614548</v>
      </c>
      <c r="S51" s="141">
        <f t="shared" si="91"/>
        <v>71570980580.936569</v>
      </c>
      <c r="T51" s="141">
        <f t="shared" si="91"/>
        <v>82407288387.865173</v>
      </c>
      <c r="U51" s="148">
        <f t="shared" si="84"/>
        <v>0.14872196430192752</v>
      </c>
      <c r="V51" s="141">
        <f t="shared" ref="V51:Y51" si="92">SUM(V46:V50)</f>
        <v>68170848643.279633</v>
      </c>
      <c r="W51" s="141">
        <f t="shared" si="92"/>
        <v>72100418606.3228</v>
      </c>
      <c r="X51" s="141">
        <f t="shared" si="92"/>
        <v>76308571923.773849</v>
      </c>
      <c r="Y51" s="141">
        <f t="shared" si="92"/>
        <v>80822923906.40181</v>
      </c>
      <c r="Z51" s="141">
        <f>SUM(Z46:Z50)</f>
        <v>85674838602.232285</v>
      </c>
      <c r="AA51" s="148">
        <f t="shared" si="86"/>
        <v>5.8799682202685888E-2</v>
      </c>
    </row>
    <row r="52" spans="1:27" ht="14.25">
      <c r="A52" s="132"/>
      <c r="B52" s="132"/>
      <c r="C52" s="132"/>
      <c r="D52" s="132"/>
      <c r="E52" s="132"/>
      <c r="F52" s="132"/>
      <c r="G52" s="132"/>
      <c r="H52" s="132"/>
      <c r="I52" s="133"/>
      <c r="J52" s="132"/>
      <c r="K52" s="132"/>
      <c r="L52" s="132"/>
      <c r="M52" s="132"/>
      <c r="N52" s="134"/>
      <c r="O52" s="133"/>
      <c r="P52" s="132"/>
      <c r="Q52" s="132"/>
      <c r="R52" s="132"/>
      <c r="S52" s="132"/>
      <c r="T52" s="132"/>
      <c r="U52" s="133"/>
      <c r="V52" s="132"/>
      <c r="W52" s="133">
        <f>W51/V51-1</f>
        <v>5.7642966770233173E-2</v>
      </c>
      <c r="X52" s="133">
        <f t="shared" ref="X52:Z52" si="93">X51/W51-1</f>
        <v>5.8365171781152636E-2</v>
      </c>
      <c r="Y52" s="133">
        <f t="shared" si="93"/>
        <v>5.9159172669846827E-2</v>
      </c>
      <c r="Z52" s="133">
        <f t="shared" si="93"/>
        <v>6.0031417589510916E-2</v>
      </c>
      <c r="AA52" s="133"/>
    </row>
    <row r="53" spans="1:27" ht="14.25">
      <c r="A53" s="132"/>
      <c r="B53" s="132"/>
      <c r="C53" s="132"/>
      <c r="D53" s="132"/>
      <c r="E53" s="132"/>
      <c r="F53" s="132"/>
      <c r="G53" s="132"/>
      <c r="H53" s="132"/>
      <c r="I53" s="133"/>
      <c r="J53" s="132"/>
      <c r="K53" s="132"/>
      <c r="L53" s="132"/>
      <c r="M53" s="132"/>
      <c r="N53" s="134"/>
      <c r="O53" s="133"/>
      <c r="P53" s="132"/>
      <c r="Q53" s="132"/>
      <c r="R53" s="132"/>
      <c r="S53" s="132"/>
      <c r="T53" s="132"/>
      <c r="U53" s="133"/>
      <c r="V53" s="151">
        <f>V51/60</f>
        <v>1136180810.7213273</v>
      </c>
      <c r="W53" s="151">
        <f t="shared" ref="W53:Z53" si="94">W51/60</f>
        <v>1201673643.4387133</v>
      </c>
      <c r="X53" s="151">
        <f t="shared" si="94"/>
        <v>1271809532.0628974</v>
      </c>
      <c r="Y53" s="151">
        <f t="shared" si="94"/>
        <v>1347048731.7733636</v>
      </c>
      <c r="Z53" s="151">
        <f t="shared" si="94"/>
        <v>1427913976.7038715</v>
      </c>
      <c r="AA53" s="133"/>
    </row>
    <row r="54" spans="1:27" ht="14.25">
      <c r="A54" s="132"/>
      <c r="B54" s="132"/>
      <c r="C54" s="132"/>
      <c r="D54" s="132"/>
      <c r="E54" s="132"/>
      <c r="F54" s="132"/>
      <c r="G54" s="132"/>
      <c r="H54" s="132"/>
      <c r="I54" s="133"/>
      <c r="J54" s="132"/>
      <c r="K54" s="132"/>
      <c r="L54" s="132"/>
      <c r="M54" s="132"/>
      <c r="N54" s="134"/>
      <c r="O54" s="133"/>
      <c r="P54" s="132"/>
      <c r="Q54" s="132"/>
      <c r="R54" s="132"/>
      <c r="S54" s="132"/>
      <c r="T54" s="132"/>
      <c r="U54" s="133"/>
      <c r="V54" s="151"/>
      <c r="W54" s="151"/>
      <c r="X54" s="151"/>
      <c r="Y54" s="151"/>
      <c r="Z54" s="151"/>
      <c r="AA54" s="133"/>
    </row>
    <row r="55" spans="1:27" ht="15">
      <c r="A55" s="309" t="s">
        <v>5</v>
      </c>
      <c r="B55" s="310"/>
      <c r="C55" s="311"/>
      <c r="D55" s="149">
        <f>D39+D51</f>
        <v>154672426.89476669</v>
      </c>
      <c r="E55" s="149">
        <f>E39+E51</f>
        <v>168333831.35141402</v>
      </c>
      <c r="F55" s="149">
        <f>F39+F51</f>
        <v>183108023.69625652</v>
      </c>
      <c r="G55" s="149">
        <f>G39+G51</f>
        <v>199441960.58018363</v>
      </c>
      <c r="H55" s="149">
        <f>H39+H51</f>
        <v>217487234.32658663</v>
      </c>
      <c r="I55" s="143">
        <f t="shared" ref="I55" si="95">((E55/D55-1)+(F55/E55-1)+(G55/F55-1)+(H55/G55-1))/4</f>
        <v>8.894365698892881E-2</v>
      </c>
      <c r="J55" s="149">
        <f>J39+J51</f>
        <v>559149359935.79749</v>
      </c>
      <c r="K55" s="149">
        <f>K39+K51</f>
        <v>602966253255.32703</v>
      </c>
      <c r="L55" s="149">
        <f>L39+L51</f>
        <v>634240427804.56775</v>
      </c>
      <c r="M55" s="149">
        <f>M39+M51</f>
        <v>683014245908.10449</v>
      </c>
      <c r="N55" s="149">
        <f>N39+N51</f>
        <v>738553487568.52881</v>
      </c>
      <c r="O55" s="143">
        <f t="shared" ref="O55" si="96">((K55/J55-1)+(L55/K55-1)+(M55/L55-1)+(N55/M55-1))/4</f>
        <v>7.211168782503341E-2</v>
      </c>
      <c r="P55" s="149">
        <f>P39+P51</f>
        <v>174363190568.49844</v>
      </c>
      <c r="Q55" s="149">
        <f>Q39+Q51</f>
        <v>184883200362.91138</v>
      </c>
      <c r="R55" s="149">
        <f>R39+R51</f>
        <v>196886372466.65088</v>
      </c>
      <c r="S55" s="149">
        <f>S39+S51</f>
        <v>210558010978.01483</v>
      </c>
      <c r="T55" s="149">
        <f>T39+T51</f>
        <v>226144565656.32639</v>
      </c>
      <c r="U55" s="148">
        <f t="shared" ref="U55" si="97">((Q55/P55-1)+(R55/Q55-1)+(S55/R55-1)+(T55/S55-1))/4</f>
        <v>6.7180278499001544E-2</v>
      </c>
      <c r="V55" s="149">
        <f>V39+V51</f>
        <v>384786169367.29907</v>
      </c>
      <c r="W55" s="149">
        <f>W39+W51</f>
        <v>418083052892.41565</v>
      </c>
      <c r="X55" s="149">
        <f>X39+X51</f>
        <v>437354055337.91675</v>
      </c>
      <c r="Y55" s="149">
        <f>Y39+Y51</f>
        <v>472456234930.0896</v>
      </c>
      <c r="Z55" s="149">
        <f>Z39+Z51</f>
        <v>512408921912.20239</v>
      </c>
      <c r="AA55" s="148">
        <f t="shared" ref="AA55" si="98">((W55/V55-1)+(X55/W55-1)+(Y55/X55-1)+(Z55/Y55-1))/4</f>
        <v>7.4362825560909229E-2</v>
      </c>
    </row>
    <row r="56" spans="1:27" ht="14.25">
      <c r="V56" s="132"/>
      <c r="W56" s="133">
        <f>W55/V55-1</f>
        <v>8.6533472811318513E-2</v>
      </c>
      <c r="X56" s="133">
        <f t="shared" ref="X56:Z56" si="99">X55/W55-1</f>
        <v>4.6093718250904692E-2</v>
      </c>
      <c r="Y56" s="133">
        <f t="shared" si="99"/>
        <v>8.0260327219445982E-2</v>
      </c>
      <c r="Z56" s="133">
        <f t="shared" si="99"/>
        <v>8.4563783961967731E-2</v>
      </c>
    </row>
    <row r="57" spans="1:27" ht="14.25">
      <c r="V57" s="151">
        <f>V55/60</f>
        <v>6413102822.7883177</v>
      </c>
      <c r="W57" s="151">
        <f t="shared" ref="W57:Z57" si="100">W55/60</f>
        <v>6968050881.5402613</v>
      </c>
      <c r="X57" s="151">
        <f t="shared" si="100"/>
        <v>7289234255.6319456</v>
      </c>
      <c r="Y57" s="151">
        <f t="shared" si="100"/>
        <v>7874270582.1681604</v>
      </c>
      <c r="Z57" s="151">
        <f t="shared" si="100"/>
        <v>8540148698.5367069</v>
      </c>
    </row>
  </sheetData>
  <mergeCells count="17">
    <mergeCell ref="A39:C39"/>
    <mergeCell ref="V3:AA3"/>
    <mergeCell ref="A3:A4"/>
    <mergeCell ref="B3:B4"/>
    <mergeCell ref="C3:C4"/>
    <mergeCell ref="D3:I3"/>
    <mergeCell ref="J3:O3"/>
    <mergeCell ref="P3:U3"/>
    <mergeCell ref="P44:U44"/>
    <mergeCell ref="V44:AA44"/>
    <mergeCell ref="A55:C55"/>
    <mergeCell ref="A51:C51"/>
    <mergeCell ref="A44:A45"/>
    <mergeCell ref="B44:B45"/>
    <mergeCell ref="C44:C45"/>
    <mergeCell ref="D44:I44"/>
    <mergeCell ref="J44:O44"/>
  </mergeCells>
  <pageMargins left="0.7" right="0.7" top="0.75" bottom="0.75" header="0.3" footer="0.3"/>
  <pageSetup orientation="portrait" horizontalDpi="4294967295" verticalDpi="4294967295" copies="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CC33"/>
  </sheetPr>
  <dimension ref="A1:T48"/>
  <sheetViews>
    <sheetView showGridLines="0" zoomScale="80" zoomScaleNormal="80" workbookViewId="0">
      <pane xSplit="3" ySplit="4" topLeftCell="D5" activePane="bottomRight" state="frozen"/>
      <selection pane="topRight" activeCell="D1" sqref="D1"/>
      <selection pane="bottomLeft" activeCell="A5" sqref="A5"/>
      <selection pane="bottomRight" activeCell="G56" sqref="G56"/>
    </sheetView>
  </sheetViews>
  <sheetFormatPr defaultColWidth="11.5703125" defaultRowHeight="14.25"/>
  <cols>
    <col min="1" max="1" width="7.28515625" style="193" customWidth="1"/>
    <col min="2" max="2" width="30.42578125" style="193" bestFit="1" customWidth="1"/>
    <col min="3" max="5" width="23.5703125" style="193" customWidth="1"/>
    <col min="6" max="13" width="21.85546875" style="193" customWidth="1"/>
    <col min="14" max="17" width="26.7109375" style="193" customWidth="1"/>
    <col min="18" max="226" width="8.7109375" style="193" customWidth="1"/>
    <col min="227" max="227" width="7.28515625" style="193" customWidth="1"/>
    <col min="228" max="228" width="18.28515625" style="193" customWidth="1"/>
    <col min="229" max="229" width="23.42578125" style="193" bestFit="1" customWidth="1"/>
    <col min="230" max="231" width="10.140625" style="193" bestFit="1" customWidth="1"/>
    <col min="232" max="234" width="10.140625" style="193" customWidth="1"/>
    <col min="235" max="235" width="16.28515625" style="193" customWidth="1"/>
    <col min="236" max="236" width="20.28515625" style="193" bestFit="1" customWidth="1"/>
    <col min="237" max="239" width="20.28515625" style="193" customWidth="1"/>
    <col min="240" max="240" width="20.28515625" style="193" bestFit="1" customWidth="1"/>
    <col min="241" max="241" width="15.42578125" style="193" customWidth="1"/>
    <col min="242" max="242" width="20.28515625" style="193" bestFit="1" customWidth="1"/>
    <col min="243" max="245" width="20.28515625" style="193" customWidth="1"/>
    <col min="246" max="246" width="20.28515625" style="193" bestFit="1" customWidth="1"/>
    <col min="247" max="247" width="15.42578125" style="193" customWidth="1"/>
    <col min="248" max="248" width="20.7109375" style="193" bestFit="1" customWidth="1"/>
    <col min="249" max="251" width="20.7109375" style="193" customWidth="1"/>
    <col min="252" max="252" width="20.7109375" style="193" bestFit="1" customWidth="1"/>
    <col min="253" max="253" width="12.140625" style="193" customWidth="1"/>
    <col min="254" max="482" width="8.7109375" style="193" customWidth="1"/>
    <col min="483" max="483" width="7.28515625" style="193" customWidth="1"/>
    <col min="484" max="484" width="18.28515625" style="193" customWidth="1"/>
    <col min="485" max="485" width="23.42578125" style="193" bestFit="1" customWidth="1"/>
    <col min="486" max="487" width="10.140625" style="193" bestFit="1" customWidth="1"/>
    <col min="488" max="490" width="10.140625" style="193" customWidth="1"/>
    <col min="491" max="491" width="16.28515625" style="193" customWidth="1"/>
    <col min="492" max="492" width="20.28515625" style="193" bestFit="1" customWidth="1"/>
    <col min="493" max="495" width="20.28515625" style="193" customWidth="1"/>
    <col min="496" max="496" width="20.28515625" style="193" bestFit="1" customWidth="1"/>
    <col min="497" max="497" width="15.42578125" style="193" customWidth="1"/>
    <col min="498" max="498" width="20.28515625" style="193" bestFit="1" customWidth="1"/>
    <col min="499" max="501" width="20.28515625" style="193" customWidth="1"/>
    <col min="502" max="502" width="20.28515625" style="193" bestFit="1" customWidth="1"/>
    <col min="503" max="503" width="15.42578125" style="193" customWidth="1"/>
    <col min="504" max="504" width="20.7109375" style="193" bestFit="1" customWidth="1"/>
    <col min="505" max="507" width="20.7109375" style="193" customWidth="1"/>
    <col min="508" max="508" width="20.7109375" style="193" bestFit="1" customWidth="1"/>
    <col min="509" max="509" width="12.140625" style="193" customWidth="1"/>
    <col min="510" max="738" width="8.7109375" style="193" customWidth="1"/>
    <col min="739" max="739" width="7.28515625" style="193" customWidth="1"/>
    <col min="740" max="740" width="18.28515625" style="193" customWidth="1"/>
    <col min="741" max="741" width="23.42578125" style="193" bestFit="1" customWidth="1"/>
    <col min="742" max="743" width="10.140625" style="193" bestFit="1" customWidth="1"/>
    <col min="744" max="746" width="10.140625" style="193" customWidth="1"/>
    <col min="747" max="747" width="16.28515625" style="193" customWidth="1"/>
    <col min="748" max="748" width="20.28515625" style="193" bestFit="1" customWidth="1"/>
    <col min="749" max="751" width="20.28515625" style="193" customWidth="1"/>
    <col min="752" max="752" width="20.28515625" style="193" bestFit="1" customWidth="1"/>
    <col min="753" max="753" width="15.42578125" style="193" customWidth="1"/>
    <col min="754" max="754" width="20.28515625" style="193" bestFit="1" customWidth="1"/>
    <col min="755" max="757" width="20.28515625" style="193" customWidth="1"/>
    <col min="758" max="758" width="20.28515625" style="193" bestFit="1" customWidth="1"/>
    <col min="759" max="759" width="15.42578125" style="193" customWidth="1"/>
    <col min="760" max="760" width="20.7109375" style="193" bestFit="1" customWidth="1"/>
    <col min="761" max="763" width="20.7109375" style="193" customWidth="1"/>
    <col min="764" max="764" width="20.7109375" style="193" bestFit="1" customWidth="1"/>
    <col min="765" max="765" width="12.140625" style="193" customWidth="1"/>
    <col min="766" max="994" width="8.7109375" style="193" customWidth="1"/>
    <col min="995" max="995" width="7.28515625" style="193" customWidth="1"/>
    <col min="996" max="996" width="18.28515625" style="193" customWidth="1"/>
    <col min="997" max="997" width="23.42578125" style="193" bestFit="1" customWidth="1"/>
    <col min="998" max="999" width="10.140625" style="193" bestFit="1" customWidth="1"/>
    <col min="1000" max="1002" width="10.140625" style="193" customWidth="1"/>
    <col min="1003" max="1003" width="16.28515625" style="193" customWidth="1"/>
    <col min="1004" max="1004" width="20.28515625" style="193" bestFit="1" customWidth="1"/>
    <col min="1005" max="1007" width="20.28515625" style="193" customWidth="1"/>
    <col min="1008" max="1008" width="20.28515625" style="193" bestFit="1" customWidth="1"/>
    <col min="1009" max="1009" width="15.42578125" style="193" customWidth="1"/>
    <col min="1010" max="1010" width="20.28515625" style="193" bestFit="1" customWidth="1"/>
    <col min="1011" max="1013" width="20.28515625" style="193" customWidth="1"/>
    <col min="1014" max="1014" width="20.28515625" style="193" bestFit="1" customWidth="1"/>
    <col min="1015" max="1015" width="15.42578125" style="193" customWidth="1"/>
    <col min="1016" max="1016" width="20.7109375" style="193" bestFit="1" customWidth="1"/>
    <col min="1017" max="1019" width="20.7109375" style="193" customWidth="1"/>
    <col min="1020" max="1020" width="20.7109375" style="193" bestFit="1" customWidth="1"/>
    <col min="1021" max="1021" width="12.140625" style="193" customWidth="1"/>
    <col min="1022" max="1250" width="8.7109375" style="193" customWidth="1"/>
    <col min="1251" max="1251" width="7.28515625" style="193" customWidth="1"/>
    <col min="1252" max="1252" width="18.28515625" style="193" customWidth="1"/>
    <col min="1253" max="1253" width="23.42578125" style="193" bestFit="1" customWidth="1"/>
    <col min="1254" max="1255" width="10.140625" style="193" bestFit="1" customWidth="1"/>
    <col min="1256" max="1258" width="10.140625" style="193" customWidth="1"/>
    <col min="1259" max="1259" width="16.28515625" style="193" customWidth="1"/>
    <col min="1260" max="1260" width="20.28515625" style="193" bestFit="1" customWidth="1"/>
    <col min="1261" max="1263" width="20.28515625" style="193" customWidth="1"/>
    <col min="1264" max="1264" width="20.28515625" style="193" bestFit="1" customWidth="1"/>
    <col min="1265" max="1265" width="15.42578125" style="193" customWidth="1"/>
    <col min="1266" max="1266" width="20.28515625" style="193" bestFit="1" customWidth="1"/>
    <col min="1267" max="1269" width="20.28515625" style="193" customWidth="1"/>
    <col min="1270" max="1270" width="20.28515625" style="193" bestFit="1" customWidth="1"/>
    <col min="1271" max="1271" width="15.42578125" style="193" customWidth="1"/>
    <col min="1272" max="1272" width="20.7109375" style="193" bestFit="1" customWidth="1"/>
    <col min="1273" max="1275" width="20.7109375" style="193" customWidth="1"/>
    <col min="1276" max="1276" width="20.7109375" style="193" bestFit="1" customWidth="1"/>
    <col min="1277" max="1277" width="12.140625" style="193" customWidth="1"/>
    <col min="1278" max="1506" width="8.7109375" style="193" customWidth="1"/>
    <col min="1507" max="1507" width="7.28515625" style="193" customWidth="1"/>
    <col min="1508" max="1508" width="18.28515625" style="193" customWidth="1"/>
    <col min="1509" max="1509" width="23.42578125" style="193" bestFit="1" customWidth="1"/>
    <col min="1510" max="1511" width="10.140625" style="193" bestFit="1" customWidth="1"/>
    <col min="1512" max="1514" width="10.140625" style="193" customWidth="1"/>
    <col min="1515" max="1515" width="16.28515625" style="193" customWidth="1"/>
    <col min="1516" max="1516" width="20.28515625" style="193" bestFit="1" customWidth="1"/>
    <col min="1517" max="1519" width="20.28515625" style="193" customWidth="1"/>
    <col min="1520" max="1520" width="20.28515625" style="193" bestFit="1" customWidth="1"/>
    <col min="1521" max="1521" width="15.42578125" style="193" customWidth="1"/>
    <col min="1522" max="1522" width="20.28515625" style="193" bestFit="1" customWidth="1"/>
    <col min="1523" max="1525" width="20.28515625" style="193" customWidth="1"/>
    <col min="1526" max="1526" width="20.28515625" style="193" bestFit="1" customWidth="1"/>
    <col min="1527" max="1527" width="15.42578125" style="193" customWidth="1"/>
    <col min="1528" max="1528" width="20.7109375" style="193" bestFit="1" customWidth="1"/>
    <col min="1529" max="1531" width="20.7109375" style="193" customWidth="1"/>
    <col min="1532" max="1532" width="20.7109375" style="193" bestFit="1" customWidth="1"/>
    <col min="1533" max="1533" width="12.140625" style="193" customWidth="1"/>
    <col min="1534" max="1762" width="8.7109375" style="193" customWidth="1"/>
    <col min="1763" max="1763" width="7.28515625" style="193" customWidth="1"/>
    <col min="1764" max="1764" width="18.28515625" style="193" customWidth="1"/>
    <col min="1765" max="1765" width="23.42578125" style="193" bestFit="1" customWidth="1"/>
    <col min="1766" max="1767" width="10.140625" style="193" bestFit="1" customWidth="1"/>
    <col min="1768" max="1770" width="10.140625" style="193" customWidth="1"/>
    <col min="1771" max="1771" width="16.28515625" style="193" customWidth="1"/>
    <col min="1772" max="1772" width="20.28515625" style="193" bestFit="1" customWidth="1"/>
    <col min="1773" max="1775" width="20.28515625" style="193" customWidth="1"/>
    <col min="1776" max="1776" width="20.28515625" style="193" bestFit="1" customWidth="1"/>
    <col min="1777" max="1777" width="15.42578125" style="193" customWidth="1"/>
    <col min="1778" max="1778" width="20.28515625" style="193" bestFit="1" customWidth="1"/>
    <col min="1779" max="1781" width="20.28515625" style="193" customWidth="1"/>
    <col min="1782" max="1782" width="20.28515625" style="193" bestFit="1" customWidth="1"/>
    <col min="1783" max="1783" width="15.42578125" style="193" customWidth="1"/>
    <col min="1784" max="1784" width="20.7109375" style="193" bestFit="1" customWidth="1"/>
    <col min="1785" max="1787" width="20.7109375" style="193" customWidth="1"/>
    <col min="1788" max="1788" width="20.7109375" style="193" bestFit="1" customWidth="1"/>
    <col min="1789" max="1789" width="12.140625" style="193" customWidth="1"/>
    <col min="1790" max="2018" width="8.7109375" style="193" customWidth="1"/>
    <col min="2019" max="2019" width="7.28515625" style="193" customWidth="1"/>
    <col min="2020" max="2020" width="18.28515625" style="193" customWidth="1"/>
    <col min="2021" max="2021" width="23.42578125" style="193" bestFit="1" customWidth="1"/>
    <col min="2022" max="2023" width="10.140625" style="193" bestFit="1" customWidth="1"/>
    <col min="2024" max="2026" width="10.140625" style="193" customWidth="1"/>
    <col min="2027" max="2027" width="16.28515625" style="193" customWidth="1"/>
    <col min="2028" max="2028" width="20.28515625" style="193" bestFit="1" customWidth="1"/>
    <col min="2029" max="2031" width="20.28515625" style="193" customWidth="1"/>
    <col min="2032" max="2032" width="20.28515625" style="193" bestFit="1" customWidth="1"/>
    <col min="2033" max="2033" width="15.42578125" style="193" customWidth="1"/>
    <col min="2034" max="2034" width="20.28515625" style="193" bestFit="1" customWidth="1"/>
    <col min="2035" max="2037" width="20.28515625" style="193" customWidth="1"/>
    <col min="2038" max="2038" width="20.28515625" style="193" bestFit="1" customWidth="1"/>
    <col min="2039" max="2039" width="15.42578125" style="193" customWidth="1"/>
    <col min="2040" max="2040" width="20.7109375" style="193" bestFit="1" customWidth="1"/>
    <col min="2041" max="2043" width="20.7109375" style="193" customWidth="1"/>
    <col min="2044" max="2044" width="20.7109375" style="193" bestFit="1" customWidth="1"/>
    <col min="2045" max="2045" width="12.140625" style="193" customWidth="1"/>
    <col min="2046" max="2274" width="8.7109375" style="193" customWidth="1"/>
    <col min="2275" max="2275" width="7.28515625" style="193" customWidth="1"/>
    <col min="2276" max="2276" width="18.28515625" style="193" customWidth="1"/>
    <col min="2277" max="2277" width="23.42578125" style="193" bestFit="1" customWidth="1"/>
    <col min="2278" max="2279" width="10.140625" style="193" bestFit="1" customWidth="1"/>
    <col min="2280" max="2282" width="10.140625" style="193" customWidth="1"/>
    <col min="2283" max="2283" width="16.28515625" style="193" customWidth="1"/>
    <col min="2284" max="2284" width="20.28515625" style="193" bestFit="1" customWidth="1"/>
    <col min="2285" max="2287" width="20.28515625" style="193" customWidth="1"/>
    <col min="2288" max="2288" width="20.28515625" style="193" bestFit="1" customWidth="1"/>
    <col min="2289" max="2289" width="15.42578125" style="193" customWidth="1"/>
    <col min="2290" max="2290" width="20.28515625" style="193" bestFit="1" customWidth="1"/>
    <col min="2291" max="2293" width="20.28515625" style="193" customWidth="1"/>
    <col min="2294" max="2294" width="20.28515625" style="193" bestFit="1" customWidth="1"/>
    <col min="2295" max="2295" width="15.42578125" style="193" customWidth="1"/>
    <col min="2296" max="2296" width="20.7109375" style="193" bestFit="1" customWidth="1"/>
    <col min="2297" max="2299" width="20.7109375" style="193" customWidth="1"/>
    <col min="2300" max="2300" width="20.7109375" style="193" bestFit="1" customWidth="1"/>
    <col min="2301" max="2301" width="12.140625" style="193" customWidth="1"/>
    <col min="2302" max="2530" width="8.7109375" style="193" customWidth="1"/>
    <col min="2531" max="2531" width="7.28515625" style="193" customWidth="1"/>
    <col min="2532" max="2532" width="18.28515625" style="193" customWidth="1"/>
    <col min="2533" max="2533" width="23.42578125" style="193" bestFit="1" customWidth="1"/>
    <col min="2534" max="2535" width="10.140625" style="193" bestFit="1" customWidth="1"/>
    <col min="2536" max="2538" width="10.140625" style="193" customWidth="1"/>
    <col min="2539" max="2539" width="16.28515625" style="193" customWidth="1"/>
    <col min="2540" max="2540" width="20.28515625" style="193" bestFit="1" customWidth="1"/>
    <col min="2541" max="2543" width="20.28515625" style="193" customWidth="1"/>
    <col min="2544" max="2544" width="20.28515625" style="193" bestFit="1" customWidth="1"/>
    <col min="2545" max="2545" width="15.42578125" style="193" customWidth="1"/>
    <col min="2546" max="2546" width="20.28515625" style="193" bestFit="1" customWidth="1"/>
    <col min="2547" max="2549" width="20.28515625" style="193" customWidth="1"/>
    <col min="2550" max="2550" width="20.28515625" style="193" bestFit="1" customWidth="1"/>
    <col min="2551" max="2551" width="15.42578125" style="193" customWidth="1"/>
    <col min="2552" max="2552" width="20.7109375" style="193" bestFit="1" customWidth="1"/>
    <col min="2553" max="2555" width="20.7109375" style="193" customWidth="1"/>
    <col min="2556" max="2556" width="20.7109375" style="193" bestFit="1" customWidth="1"/>
    <col min="2557" max="2557" width="12.140625" style="193" customWidth="1"/>
    <col min="2558" max="2786" width="8.7109375" style="193" customWidth="1"/>
    <col min="2787" max="2787" width="7.28515625" style="193" customWidth="1"/>
    <col min="2788" max="2788" width="18.28515625" style="193" customWidth="1"/>
    <col min="2789" max="2789" width="23.42578125" style="193" bestFit="1" customWidth="1"/>
    <col min="2790" max="2791" width="10.140625" style="193" bestFit="1" customWidth="1"/>
    <col min="2792" max="2794" width="10.140625" style="193" customWidth="1"/>
    <col min="2795" max="2795" width="16.28515625" style="193" customWidth="1"/>
    <col min="2796" max="2796" width="20.28515625" style="193" bestFit="1" customWidth="1"/>
    <col min="2797" max="2799" width="20.28515625" style="193" customWidth="1"/>
    <col min="2800" max="2800" width="20.28515625" style="193" bestFit="1" customWidth="1"/>
    <col min="2801" max="2801" width="15.42578125" style="193" customWidth="1"/>
    <col min="2802" max="2802" width="20.28515625" style="193" bestFit="1" customWidth="1"/>
    <col min="2803" max="2805" width="20.28515625" style="193" customWidth="1"/>
    <col min="2806" max="2806" width="20.28515625" style="193" bestFit="1" customWidth="1"/>
    <col min="2807" max="2807" width="15.42578125" style="193" customWidth="1"/>
    <col min="2808" max="2808" width="20.7109375" style="193" bestFit="1" customWidth="1"/>
    <col min="2809" max="2811" width="20.7109375" style="193" customWidth="1"/>
    <col min="2812" max="2812" width="20.7109375" style="193" bestFit="1" customWidth="1"/>
    <col min="2813" max="2813" width="12.140625" style="193" customWidth="1"/>
    <col min="2814" max="3042" width="8.7109375" style="193" customWidth="1"/>
    <col min="3043" max="3043" width="7.28515625" style="193" customWidth="1"/>
    <col min="3044" max="3044" width="18.28515625" style="193" customWidth="1"/>
    <col min="3045" max="3045" width="23.42578125" style="193" bestFit="1" customWidth="1"/>
    <col min="3046" max="3047" width="10.140625" style="193" bestFit="1" customWidth="1"/>
    <col min="3048" max="3050" width="10.140625" style="193" customWidth="1"/>
    <col min="3051" max="3051" width="16.28515625" style="193" customWidth="1"/>
    <col min="3052" max="3052" width="20.28515625" style="193" bestFit="1" customWidth="1"/>
    <col min="3053" max="3055" width="20.28515625" style="193" customWidth="1"/>
    <col min="3056" max="3056" width="20.28515625" style="193" bestFit="1" customWidth="1"/>
    <col min="3057" max="3057" width="15.42578125" style="193" customWidth="1"/>
    <col min="3058" max="3058" width="20.28515625" style="193" bestFit="1" customWidth="1"/>
    <col min="3059" max="3061" width="20.28515625" style="193" customWidth="1"/>
    <col min="3062" max="3062" width="20.28515625" style="193" bestFit="1" customWidth="1"/>
    <col min="3063" max="3063" width="15.42578125" style="193" customWidth="1"/>
    <col min="3064" max="3064" width="20.7109375" style="193" bestFit="1" customWidth="1"/>
    <col min="3065" max="3067" width="20.7109375" style="193" customWidth="1"/>
    <col min="3068" max="3068" width="20.7109375" style="193" bestFit="1" customWidth="1"/>
    <col min="3069" max="3069" width="12.140625" style="193" customWidth="1"/>
    <col min="3070" max="3298" width="8.7109375" style="193" customWidth="1"/>
    <col min="3299" max="3299" width="7.28515625" style="193" customWidth="1"/>
    <col min="3300" max="3300" width="18.28515625" style="193" customWidth="1"/>
    <col min="3301" max="3301" width="23.42578125" style="193" bestFit="1" customWidth="1"/>
    <col min="3302" max="3303" width="10.140625" style="193" bestFit="1" customWidth="1"/>
    <col min="3304" max="3306" width="10.140625" style="193" customWidth="1"/>
    <col min="3307" max="3307" width="16.28515625" style="193" customWidth="1"/>
    <col min="3308" max="3308" width="20.28515625" style="193" bestFit="1" customWidth="1"/>
    <col min="3309" max="3311" width="20.28515625" style="193" customWidth="1"/>
    <col min="3312" max="3312" width="20.28515625" style="193" bestFit="1" customWidth="1"/>
    <col min="3313" max="3313" width="15.42578125" style="193" customWidth="1"/>
    <col min="3314" max="3314" width="20.28515625" style="193" bestFit="1" customWidth="1"/>
    <col min="3315" max="3317" width="20.28515625" style="193" customWidth="1"/>
    <col min="3318" max="3318" width="20.28515625" style="193" bestFit="1" customWidth="1"/>
    <col min="3319" max="3319" width="15.42578125" style="193" customWidth="1"/>
    <col min="3320" max="3320" width="20.7109375" style="193" bestFit="1" customWidth="1"/>
    <col min="3321" max="3323" width="20.7109375" style="193" customWidth="1"/>
    <col min="3324" max="3324" width="20.7109375" style="193" bestFit="1" customWidth="1"/>
    <col min="3325" max="3325" width="12.140625" style="193" customWidth="1"/>
    <col min="3326" max="3554" width="8.7109375" style="193" customWidth="1"/>
    <col min="3555" max="3555" width="7.28515625" style="193" customWidth="1"/>
    <col min="3556" max="3556" width="18.28515625" style="193" customWidth="1"/>
    <col min="3557" max="3557" width="23.42578125" style="193" bestFit="1" customWidth="1"/>
    <col min="3558" max="3559" width="10.140625" style="193" bestFit="1" customWidth="1"/>
    <col min="3560" max="3562" width="10.140625" style="193" customWidth="1"/>
    <col min="3563" max="3563" width="16.28515625" style="193" customWidth="1"/>
    <col min="3564" max="3564" width="20.28515625" style="193" bestFit="1" customWidth="1"/>
    <col min="3565" max="3567" width="20.28515625" style="193" customWidth="1"/>
    <col min="3568" max="3568" width="20.28515625" style="193" bestFit="1" customWidth="1"/>
    <col min="3569" max="3569" width="15.42578125" style="193" customWidth="1"/>
    <col min="3570" max="3570" width="20.28515625" style="193" bestFit="1" customWidth="1"/>
    <col min="3571" max="3573" width="20.28515625" style="193" customWidth="1"/>
    <col min="3574" max="3574" width="20.28515625" style="193" bestFit="1" customWidth="1"/>
    <col min="3575" max="3575" width="15.42578125" style="193" customWidth="1"/>
    <col min="3576" max="3576" width="20.7109375" style="193" bestFit="1" customWidth="1"/>
    <col min="3577" max="3579" width="20.7109375" style="193" customWidth="1"/>
    <col min="3580" max="3580" width="20.7109375" style="193" bestFit="1" customWidth="1"/>
    <col min="3581" max="3581" width="12.140625" style="193" customWidth="1"/>
    <col min="3582" max="3810" width="8.7109375" style="193" customWidth="1"/>
    <col min="3811" max="3811" width="7.28515625" style="193" customWidth="1"/>
    <col min="3812" max="3812" width="18.28515625" style="193" customWidth="1"/>
    <col min="3813" max="3813" width="23.42578125" style="193" bestFit="1" customWidth="1"/>
    <col min="3814" max="3815" width="10.140625" style="193" bestFit="1" customWidth="1"/>
    <col min="3816" max="3818" width="10.140625" style="193" customWidth="1"/>
    <col min="3819" max="3819" width="16.28515625" style="193" customWidth="1"/>
    <col min="3820" max="3820" width="20.28515625" style="193" bestFit="1" customWidth="1"/>
    <col min="3821" max="3823" width="20.28515625" style="193" customWidth="1"/>
    <col min="3824" max="3824" width="20.28515625" style="193" bestFit="1" customWidth="1"/>
    <col min="3825" max="3825" width="15.42578125" style="193" customWidth="1"/>
    <col min="3826" max="3826" width="20.28515625" style="193" bestFit="1" customWidth="1"/>
    <col min="3827" max="3829" width="20.28515625" style="193" customWidth="1"/>
    <col min="3830" max="3830" width="20.28515625" style="193" bestFit="1" customWidth="1"/>
    <col min="3831" max="3831" width="15.42578125" style="193" customWidth="1"/>
    <col min="3832" max="3832" width="20.7109375" style="193" bestFit="1" customWidth="1"/>
    <col min="3833" max="3835" width="20.7109375" style="193" customWidth="1"/>
    <col min="3836" max="3836" width="20.7109375" style="193" bestFit="1" customWidth="1"/>
    <col min="3837" max="3837" width="12.140625" style="193" customWidth="1"/>
    <col min="3838" max="4066" width="8.7109375" style="193" customWidth="1"/>
    <col min="4067" max="4067" width="7.28515625" style="193" customWidth="1"/>
    <col min="4068" max="4068" width="18.28515625" style="193" customWidth="1"/>
    <col min="4069" max="4069" width="23.42578125" style="193" bestFit="1" customWidth="1"/>
    <col min="4070" max="4071" width="10.140625" style="193" bestFit="1" customWidth="1"/>
    <col min="4072" max="4074" width="10.140625" style="193" customWidth="1"/>
    <col min="4075" max="4075" width="16.28515625" style="193" customWidth="1"/>
    <col min="4076" max="4076" width="20.28515625" style="193" bestFit="1" customWidth="1"/>
    <col min="4077" max="4079" width="20.28515625" style="193" customWidth="1"/>
    <col min="4080" max="4080" width="20.28515625" style="193" bestFit="1" customWidth="1"/>
    <col min="4081" max="4081" width="15.42578125" style="193" customWidth="1"/>
    <col min="4082" max="4082" width="20.28515625" style="193" bestFit="1" customWidth="1"/>
    <col min="4083" max="4085" width="20.28515625" style="193" customWidth="1"/>
    <col min="4086" max="4086" width="20.28515625" style="193" bestFit="1" customWidth="1"/>
    <col min="4087" max="4087" width="15.42578125" style="193" customWidth="1"/>
    <col min="4088" max="4088" width="20.7109375" style="193" bestFit="1" customWidth="1"/>
    <col min="4089" max="4091" width="20.7109375" style="193" customWidth="1"/>
    <col min="4092" max="4092" width="20.7109375" style="193" bestFit="1" customWidth="1"/>
    <col min="4093" max="4093" width="12.140625" style="193" customWidth="1"/>
    <col min="4094" max="4322" width="8.7109375" style="193" customWidth="1"/>
    <col min="4323" max="4323" width="7.28515625" style="193" customWidth="1"/>
    <col min="4324" max="4324" width="18.28515625" style="193" customWidth="1"/>
    <col min="4325" max="4325" width="23.42578125" style="193" bestFit="1" customWidth="1"/>
    <col min="4326" max="4327" width="10.140625" style="193" bestFit="1" customWidth="1"/>
    <col min="4328" max="4330" width="10.140625" style="193" customWidth="1"/>
    <col min="4331" max="4331" width="16.28515625" style="193" customWidth="1"/>
    <col min="4332" max="4332" width="20.28515625" style="193" bestFit="1" customWidth="1"/>
    <col min="4333" max="4335" width="20.28515625" style="193" customWidth="1"/>
    <col min="4336" max="4336" width="20.28515625" style="193" bestFit="1" customWidth="1"/>
    <col min="4337" max="4337" width="15.42578125" style="193" customWidth="1"/>
    <col min="4338" max="4338" width="20.28515625" style="193" bestFit="1" customWidth="1"/>
    <col min="4339" max="4341" width="20.28515625" style="193" customWidth="1"/>
    <col min="4342" max="4342" width="20.28515625" style="193" bestFit="1" customWidth="1"/>
    <col min="4343" max="4343" width="15.42578125" style="193" customWidth="1"/>
    <col min="4344" max="4344" width="20.7109375" style="193" bestFit="1" customWidth="1"/>
    <col min="4345" max="4347" width="20.7109375" style="193" customWidth="1"/>
    <col min="4348" max="4348" width="20.7109375" style="193" bestFit="1" customWidth="1"/>
    <col min="4349" max="4349" width="12.140625" style="193" customWidth="1"/>
    <col min="4350" max="4578" width="8.7109375" style="193" customWidth="1"/>
    <col min="4579" max="4579" width="7.28515625" style="193" customWidth="1"/>
    <col min="4580" max="4580" width="18.28515625" style="193" customWidth="1"/>
    <col min="4581" max="4581" width="23.42578125" style="193" bestFit="1" customWidth="1"/>
    <col min="4582" max="4583" width="10.140625" style="193" bestFit="1" customWidth="1"/>
    <col min="4584" max="4586" width="10.140625" style="193" customWidth="1"/>
    <col min="4587" max="4587" width="16.28515625" style="193" customWidth="1"/>
    <col min="4588" max="4588" width="20.28515625" style="193" bestFit="1" customWidth="1"/>
    <col min="4589" max="4591" width="20.28515625" style="193" customWidth="1"/>
    <col min="4592" max="4592" width="20.28515625" style="193" bestFit="1" customWidth="1"/>
    <col min="4593" max="4593" width="15.42578125" style="193" customWidth="1"/>
    <col min="4594" max="4594" width="20.28515625" style="193" bestFit="1" customWidth="1"/>
    <col min="4595" max="4597" width="20.28515625" style="193" customWidth="1"/>
    <col min="4598" max="4598" width="20.28515625" style="193" bestFit="1" customWidth="1"/>
    <col min="4599" max="4599" width="15.42578125" style="193" customWidth="1"/>
    <col min="4600" max="4600" width="20.7109375" style="193" bestFit="1" customWidth="1"/>
    <col min="4601" max="4603" width="20.7109375" style="193" customWidth="1"/>
    <col min="4604" max="4604" width="20.7109375" style="193" bestFit="1" customWidth="1"/>
    <col min="4605" max="4605" width="12.140625" style="193" customWidth="1"/>
    <col min="4606" max="4834" width="8.7109375" style="193" customWidth="1"/>
    <col min="4835" max="4835" width="7.28515625" style="193" customWidth="1"/>
    <col min="4836" max="4836" width="18.28515625" style="193" customWidth="1"/>
    <col min="4837" max="4837" width="23.42578125" style="193" bestFit="1" customWidth="1"/>
    <col min="4838" max="4839" width="10.140625" style="193" bestFit="1" customWidth="1"/>
    <col min="4840" max="4842" width="10.140625" style="193" customWidth="1"/>
    <col min="4843" max="4843" width="16.28515625" style="193" customWidth="1"/>
    <col min="4844" max="4844" width="20.28515625" style="193" bestFit="1" customWidth="1"/>
    <col min="4845" max="4847" width="20.28515625" style="193" customWidth="1"/>
    <col min="4848" max="4848" width="20.28515625" style="193" bestFit="1" customWidth="1"/>
    <col min="4849" max="4849" width="15.42578125" style="193" customWidth="1"/>
    <col min="4850" max="4850" width="20.28515625" style="193" bestFit="1" customWidth="1"/>
    <col min="4851" max="4853" width="20.28515625" style="193" customWidth="1"/>
    <col min="4854" max="4854" width="20.28515625" style="193" bestFit="1" customWidth="1"/>
    <col min="4855" max="4855" width="15.42578125" style="193" customWidth="1"/>
    <col min="4856" max="4856" width="20.7109375" style="193" bestFit="1" customWidth="1"/>
    <col min="4857" max="4859" width="20.7109375" style="193" customWidth="1"/>
    <col min="4860" max="4860" width="20.7109375" style="193" bestFit="1" customWidth="1"/>
    <col min="4861" max="4861" width="12.140625" style="193" customWidth="1"/>
    <col min="4862" max="5090" width="8.7109375" style="193" customWidth="1"/>
    <col min="5091" max="5091" width="7.28515625" style="193" customWidth="1"/>
    <col min="5092" max="5092" width="18.28515625" style="193" customWidth="1"/>
    <col min="5093" max="5093" width="23.42578125" style="193" bestFit="1" customWidth="1"/>
    <col min="5094" max="5095" width="10.140625" style="193" bestFit="1" customWidth="1"/>
    <col min="5096" max="5098" width="10.140625" style="193" customWidth="1"/>
    <col min="5099" max="5099" width="16.28515625" style="193" customWidth="1"/>
    <col min="5100" max="5100" width="20.28515625" style="193" bestFit="1" customWidth="1"/>
    <col min="5101" max="5103" width="20.28515625" style="193" customWidth="1"/>
    <col min="5104" max="5104" width="20.28515625" style="193" bestFit="1" customWidth="1"/>
    <col min="5105" max="5105" width="15.42578125" style="193" customWidth="1"/>
    <col min="5106" max="5106" width="20.28515625" style="193" bestFit="1" customWidth="1"/>
    <col min="5107" max="5109" width="20.28515625" style="193" customWidth="1"/>
    <col min="5110" max="5110" width="20.28515625" style="193" bestFit="1" customWidth="1"/>
    <col min="5111" max="5111" width="15.42578125" style="193" customWidth="1"/>
    <col min="5112" max="5112" width="20.7109375" style="193" bestFit="1" customWidth="1"/>
    <col min="5113" max="5115" width="20.7109375" style="193" customWidth="1"/>
    <col min="5116" max="5116" width="20.7109375" style="193" bestFit="1" customWidth="1"/>
    <col min="5117" max="5117" width="12.140625" style="193" customWidth="1"/>
    <col min="5118" max="5346" width="8.7109375" style="193" customWidth="1"/>
    <col min="5347" max="5347" width="7.28515625" style="193" customWidth="1"/>
    <col min="5348" max="5348" width="18.28515625" style="193" customWidth="1"/>
    <col min="5349" max="5349" width="23.42578125" style="193" bestFit="1" customWidth="1"/>
    <col min="5350" max="5351" width="10.140625" style="193" bestFit="1" customWidth="1"/>
    <col min="5352" max="5354" width="10.140625" style="193" customWidth="1"/>
    <col min="5355" max="5355" width="16.28515625" style="193" customWidth="1"/>
    <col min="5356" max="5356" width="20.28515625" style="193" bestFit="1" customWidth="1"/>
    <col min="5357" max="5359" width="20.28515625" style="193" customWidth="1"/>
    <col min="5360" max="5360" width="20.28515625" style="193" bestFit="1" customWidth="1"/>
    <col min="5361" max="5361" width="15.42578125" style="193" customWidth="1"/>
    <col min="5362" max="5362" width="20.28515625" style="193" bestFit="1" customWidth="1"/>
    <col min="5363" max="5365" width="20.28515625" style="193" customWidth="1"/>
    <col min="5366" max="5366" width="20.28515625" style="193" bestFit="1" customWidth="1"/>
    <col min="5367" max="5367" width="15.42578125" style="193" customWidth="1"/>
    <col min="5368" max="5368" width="20.7109375" style="193" bestFit="1" customWidth="1"/>
    <col min="5369" max="5371" width="20.7109375" style="193" customWidth="1"/>
    <col min="5372" max="5372" width="20.7109375" style="193" bestFit="1" customWidth="1"/>
    <col min="5373" max="5373" width="12.140625" style="193" customWidth="1"/>
    <col min="5374" max="5602" width="8.7109375" style="193" customWidth="1"/>
    <col min="5603" max="5603" width="7.28515625" style="193" customWidth="1"/>
    <col min="5604" max="5604" width="18.28515625" style="193" customWidth="1"/>
    <col min="5605" max="5605" width="23.42578125" style="193" bestFit="1" customWidth="1"/>
    <col min="5606" max="5607" width="10.140625" style="193" bestFit="1" customWidth="1"/>
    <col min="5608" max="5610" width="10.140625" style="193" customWidth="1"/>
    <col min="5611" max="5611" width="16.28515625" style="193" customWidth="1"/>
    <col min="5612" max="5612" width="20.28515625" style="193" bestFit="1" customWidth="1"/>
    <col min="5613" max="5615" width="20.28515625" style="193" customWidth="1"/>
    <col min="5616" max="5616" width="20.28515625" style="193" bestFit="1" customWidth="1"/>
    <col min="5617" max="5617" width="15.42578125" style="193" customWidth="1"/>
    <col min="5618" max="5618" width="20.28515625" style="193" bestFit="1" customWidth="1"/>
    <col min="5619" max="5621" width="20.28515625" style="193" customWidth="1"/>
    <col min="5622" max="5622" width="20.28515625" style="193" bestFit="1" customWidth="1"/>
    <col min="5623" max="5623" width="15.42578125" style="193" customWidth="1"/>
    <col min="5624" max="5624" width="20.7109375" style="193" bestFit="1" customWidth="1"/>
    <col min="5625" max="5627" width="20.7109375" style="193" customWidth="1"/>
    <col min="5628" max="5628" width="20.7109375" style="193" bestFit="1" customWidth="1"/>
    <col min="5629" max="5629" width="12.140625" style="193" customWidth="1"/>
    <col min="5630" max="5858" width="8.7109375" style="193" customWidth="1"/>
    <col min="5859" max="5859" width="7.28515625" style="193" customWidth="1"/>
    <col min="5860" max="5860" width="18.28515625" style="193" customWidth="1"/>
    <col min="5861" max="5861" width="23.42578125" style="193" bestFit="1" customWidth="1"/>
    <col min="5862" max="5863" width="10.140625" style="193" bestFit="1" customWidth="1"/>
    <col min="5864" max="5866" width="10.140625" style="193" customWidth="1"/>
    <col min="5867" max="5867" width="16.28515625" style="193" customWidth="1"/>
    <col min="5868" max="5868" width="20.28515625" style="193" bestFit="1" customWidth="1"/>
    <col min="5869" max="5871" width="20.28515625" style="193" customWidth="1"/>
    <col min="5872" max="5872" width="20.28515625" style="193" bestFit="1" customWidth="1"/>
    <col min="5873" max="5873" width="15.42578125" style="193" customWidth="1"/>
    <col min="5874" max="5874" width="20.28515625" style="193" bestFit="1" customWidth="1"/>
    <col min="5875" max="5877" width="20.28515625" style="193" customWidth="1"/>
    <col min="5878" max="5878" width="20.28515625" style="193" bestFit="1" customWidth="1"/>
    <col min="5879" max="5879" width="15.42578125" style="193" customWidth="1"/>
    <col min="5880" max="5880" width="20.7109375" style="193" bestFit="1" customWidth="1"/>
    <col min="5881" max="5883" width="20.7109375" style="193" customWidth="1"/>
    <col min="5884" max="5884" width="20.7109375" style="193" bestFit="1" customWidth="1"/>
    <col min="5885" max="5885" width="12.140625" style="193" customWidth="1"/>
    <col min="5886" max="6114" width="8.7109375" style="193" customWidth="1"/>
    <col min="6115" max="6115" width="7.28515625" style="193" customWidth="1"/>
    <col min="6116" max="6116" width="18.28515625" style="193" customWidth="1"/>
    <col min="6117" max="6117" width="23.42578125" style="193" bestFit="1" customWidth="1"/>
    <col min="6118" max="6119" width="10.140625" style="193" bestFit="1" customWidth="1"/>
    <col min="6120" max="6122" width="10.140625" style="193" customWidth="1"/>
    <col min="6123" max="6123" width="16.28515625" style="193" customWidth="1"/>
    <col min="6124" max="6124" width="20.28515625" style="193" bestFit="1" customWidth="1"/>
    <col min="6125" max="6127" width="20.28515625" style="193" customWidth="1"/>
    <col min="6128" max="6128" width="20.28515625" style="193" bestFit="1" customWidth="1"/>
    <col min="6129" max="6129" width="15.42578125" style="193" customWidth="1"/>
    <col min="6130" max="6130" width="20.28515625" style="193" bestFit="1" customWidth="1"/>
    <col min="6131" max="6133" width="20.28515625" style="193" customWidth="1"/>
    <col min="6134" max="6134" width="20.28515625" style="193" bestFit="1" customWidth="1"/>
    <col min="6135" max="6135" width="15.42578125" style="193" customWidth="1"/>
    <col min="6136" max="6136" width="20.7109375" style="193" bestFit="1" customWidth="1"/>
    <col min="6137" max="6139" width="20.7109375" style="193" customWidth="1"/>
    <col min="6140" max="6140" width="20.7109375" style="193" bestFit="1" customWidth="1"/>
    <col min="6141" max="6141" width="12.140625" style="193" customWidth="1"/>
    <col min="6142" max="6370" width="8.7109375" style="193" customWidth="1"/>
    <col min="6371" max="6371" width="7.28515625" style="193" customWidth="1"/>
    <col min="6372" max="6372" width="18.28515625" style="193" customWidth="1"/>
    <col min="6373" max="6373" width="23.42578125" style="193" bestFit="1" customWidth="1"/>
    <col min="6374" max="6375" width="10.140625" style="193" bestFit="1" customWidth="1"/>
    <col min="6376" max="6378" width="10.140625" style="193" customWidth="1"/>
    <col min="6379" max="6379" width="16.28515625" style="193" customWidth="1"/>
    <col min="6380" max="6380" width="20.28515625" style="193" bestFit="1" customWidth="1"/>
    <col min="6381" max="6383" width="20.28515625" style="193" customWidth="1"/>
    <col min="6384" max="6384" width="20.28515625" style="193" bestFit="1" customWidth="1"/>
    <col min="6385" max="6385" width="15.42578125" style="193" customWidth="1"/>
    <col min="6386" max="6386" width="20.28515625" style="193" bestFit="1" customWidth="1"/>
    <col min="6387" max="6389" width="20.28515625" style="193" customWidth="1"/>
    <col min="6390" max="6390" width="20.28515625" style="193" bestFit="1" customWidth="1"/>
    <col min="6391" max="6391" width="15.42578125" style="193" customWidth="1"/>
    <col min="6392" max="6392" width="20.7109375" style="193" bestFit="1" customWidth="1"/>
    <col min="6393" max="6395" width="20.7109375" style="193" customWidth="1"/>
    <col min="6396" max="6396" width="20.7109375" style="193" bestFit="1" customWidth="1"/>
    <col min="6397" max="6397" width="12.140625" style="193" customWidth="1"/>
    <col min="6398" max="6626" width="8.7109375" style="193" customWidth="1"/>
    <col min="6627" max="6627" width="7.28515625" style="193" customWidth="1"/>
    <col min="6628" max="6628" width="18.28515625" style="193" customWidth="1"/>
    <col min="6629" max="6629" width="23.42578125" style="193" bestFit="1" customWidth="1"/>
    <col min="6630" max="6631" width="10.140625" style="193" bestFit="1" customWidth="1"/>
    <col min="6632" max="6634" width="10.140625" style="193" customWidth="1"/>
    <col min="6635" max="6635" width="16.28515625" style="193" customWidth="1"/>
    <col min="6636" max="6636" width="20.28515625" style="193" bestFit="1" customWidth="1"/>
    <col min="6637" max="6639" width="20.28515625" style="193" customWidth="1"/>
    <col min="6640" max="6640" width="20.28515625" style="193" bestFit="1" customWidth="1"/>
    <col min="6641" max="6641" width="15.42578125" style="193" customWidth="1"/>
    <col min="6642" max="6642" width="20.28515625" style="193" bestFit="1" customWidth="1"/>
    <col min="6643" max="6645" width="20.28515625" style="193" customWidth="1"/>
    <col min="6646" max="6646" width="20.28515625" style="193" bestFit="1" customWidth="1"/>
    <col min="6647" max="6647" width="15.42578125" style="193" customWidth="1"/>
    <col min="6648" max="6648" width="20.7109375" style="193" bestFit="1" customWidth="1"/>
    <col min="6649" max="6651" width="20.7109375" style="193" customWidth="1"/>
    <col min="6652" max="6652" width="20.7109375" style="193" bestFit="1" customWidth="1"/>
    <col min="6653" max="6653" width="12.140625" style="193" customWidth="1"/>
    <col min="6654" max="6882" width="8.7109375" style="193" customWidth="1"/>
    <col min="6883" max="6883" width="7.28515625" style="193" customWidth="1"/>
    <col min="6884" max="6884" width="18.28515625" style="193" customWidth="1"/>
    <col min="6885" max="6885" width="23.42578125" style="193" bestFit="1" customWidth="1"/>
    <col min="6886" max="6887" width="10.140625" style="193" bestFit="1" customWidth="1"/>
    <col min="6888" max="6890" width="10.140625" style="193" customWidth="1"/>
    <col min="6891" max="6891" width="16.28515625" style="193" customWidth="1"/>
    <col min="6892" max="6892" width="20.28515625" style="193" bestFit="1" customWidth="1"/>
    <col min="6893" max="6895" width="20.28515625" style="193" customWidth="1"/>
    <col min="6896" max="6896" width="20.28515625" style="193" bestFit="1" customWidth="1"/>
    <col min="6897" max="6897" width="15.42578125" style="193" customWidth="1"/>
    <col min="6898" max="6898" width="20.28515625" style="193" bestFit="1" customWidth="1"/>
    <col min="6899" max="6901" width="20.28515625" style="193" customWidth="1"/>
    <col min="6902" max="6902" width="20.28515625" style="193" bestFit="1" customWidth="1"/>
    <col min="6903" max="6903" width="15.42578125" style="193" customWidth="1"/>
    <col min="6904" max="6904" width="20.7109375" style="193" bestFit="1" customWidth="1"/>
    <col min="6905" max="6907" width="20.7109375" style="193" customWidth="1"/>
    <col min="6908" max="6908" width="20.7109375" style="193" bestFit="1" customWidth="1"/>
    <col min="6909" max="6909" width="12.140625" style="193" customWidth="1"/>
    <col min="6910" max="7138" width="8.7109375" style="193" customWidth="1"/>
    <col min="7139" max="7139" width="7.28515625" style="193" customWidth="1"/>
    <col min="7140" max="7140" width="18.28515625" style="193" customWidth="1"/>
    <col min="7141" max="7141" width="23.42578125" style="193" bestFit="1" customWidth="1"/>
    <col min="7142" max="7143" width="10.140625" style="193" bestFit="1" customWidth="1"/>
    <col min="7144" max="7146" width="10.140625" style="193" customWidth="1"/>
    <col min="7147" max="7147" width="16.28515625" style="193" customWidth="1"/>
    <col min="7148" max="7148" width="20.28515625" style="193" bestFit="1" customWidth="1"/>
    <col min="7149" max="7151" width="20.28515625" style="193" customWidth="1"/>
    <col min="7152" max="7152" width="20.28515625" style="193" bestFit="1" customWidth="1"/>
    <col min="7153" max="7153" width="15.42578125" style="193" customWidth="1"/>
    <col min="7154" max="7154" width="20.28515625" style="193" bestFit="1" customWidth="1"/>
    <col min="7155" max="7157" width="20.28515625" style="193" customWidth="1"/>
    <col min="7158" max="7158" width="20.28515625" style="193" bestFit="1" customWidth="1"/>
    <col min="7159" max="7159" width="15.42578125" style="193" customWidth="1"/>
    <col min="7160" max="7160" width="20.7109375" style="193" bestFit="1" customWidth="1"/>
    <col min="7161" max="7163" width="20.7109375" style="193" customWidth="1"/>
    <col min="7164" max="7164" width="20.7109375" style="193" bestFit="1" customWidth="1"/>
    <col min="7165" max="7165" width="12.140625" style="193" customWidth="1"/>
    <col min="7166" max="7394" width="8.7109375" style="193" customWidth="1"/>
    <col min="7395" max="7395" width="7.28515625" style="193" customWidth="1"/>
    <col min="7396" max="7396" width="18.28515625" style="193" customWidth="1"/>
    <col min="7397" max="7397" width="23.42578125" style="193" bestFit="1" customWidth="1"/>
    <col min="7398" max="7399" width="10.140625" style="193" bestFit="1" customWidth="1"/>
    <col min="7400" max="7402" width="10.140625" style="193" customWidth="1"/>
    <col min="7403" max="7403" width="16.28515625" style="193" customWidth="1"/>
    <col min="7404" max="7404" width="20.28515625" style="193" bestFit="1" customWidth="1"/>
    <col min="7405" max="7407" width="20.28515625" style="193" customWidth="1"/>
    <col min="7408" max="7408" width="20.28515625" style="193" bestFit="1" customWidth="1"/>
    <col min="7409" max="7409" width="15.42578125" style="193" customWidth="1"/>
    <col min="7410" max="7410" width="20.28515625" style="193" bestFit="1" customWidth="1"/>
    <col min="7411" max="7413" width="20.28515625" style="193" customWidth="1"/>
    <col min="7414" max="7414" width="20.28515625" style="193" bestFit="1" customWidth="1"/>
    <col min="7415" max="7415" width="15.42578125" style="193" customWidth="1"/>
    <col min="7416" max="7416" width="20.7109375" style="193" bestFit="1" customWidth="1"/>
    <col min="7417" max="7419" width="20.7109375" style="193" customWidth="1"/>
    <col min="7420" max="7420" width="20.7109375" style="193" bestFit="1" customWidth="1"/>
    <col min="7421" max="7421" width="12.140625" style="193" customWidth="1"/>
    <col min="7422" max="7650" width="8.7109375" style="193" customWidth="1"/>
    <col min="7651" max="7651" width="7.28515625" style="193" customWidth="1"/>
    <col min="7652" max="7652" width="18.28515625" style="193" customWidth="1"/>
    <col min="7653" max="7653" width="23.42578125" style="193" bestFit="1" customWidth="1"/>
    <col min="7654" max="7655" width="10.140625" style="193" bestFit="1" customWidth="1"/>
    <col min="7656" max="7658" width="10.140625" style="193" customWidth="1"/>
    <col min="7659" max="7659" width="16.28515625" style="193" customWidth="1"/>
    <col min="7660" max="7660" width="20.28515625" style="193" bestFit="1" customWidth="1"/>
    <col min="7661" max="7663" width="20.28515625" style="193" customWidth="1"/>
    <col min="7664" max="7664" width="20.28515625" style="193" bestFit="1" customWidth="1"/>
    <col min="7665" max="7665" width="15.42578125" style="193" customWidth="1"/>
    <col min="7666" max="7666" width="20.28515625" style="193" bestFit="1" customWidth="1"/>
    <col min="7667" max="7669" width="20.28515625" style="193" customWidth="1"/>
    <col min="7670" max="7670" width="20.28515625" style="193" bestFit="1" customWidth="1"/>
    <col min="7671" max="7671" width="15.42578125" style="193" customWidth="1"/>
    <col min="7672" max="7672" width="20.7109375" style="193" bestFit="1" customWidth="1"/>
    <col min="7673" max="7675" width="20.7109375" style="193" customWidth="1"/>
    <col min="7676" max="7676" width="20.7109375" style="193" bestFit="1" customWidth="1"/>
    <col min="7677" max="7677" width="12.140625" style="193" customWidth="1"/>
    <col min="7678" max="7906" width="8.7109375" style="193" customWidth="1"/>
    <col min="7907" max="7907" width="7.28515625" style="193" customWidth="1"/>
    <col min="7908" max="7908" width="18.28515625" style="193" customWidth="1"/>
    <col min="7909" max="7909" width="23.42578125" style="193" bestFit="1" customWidth="1"/>
    <col min="7910" max="7911" width="10.140625" style="193" bestFit="1" customWidth="1"/>
    <col min="7912" max="7914" width="10.140625" style="193" customWidth="1"/>
    <col min="7915" max="7915" width="16.28515625" style="193" customWidth="1"/>
    <col min="7916" max="7916" width="20.28515625" style="193" bestFit="1" customWidth="1"/>
    <col min="7917" max="7919" width="20.28515625" style="193" customWidth="1"/>
    <col min="7920" max="7920" width="20.28515625" style="193" bestFit="1" customWidth="1"/>
    <col min="7921" max="7921" width="15.42578125" style="193" customWidth="1"/>
    <col min="7922" max="7922" width="20.28515625" style="193" bestFit="1" customWidth="1"/>
    <col min="7923" max="7925" width="20.28515625" style="193" customWidth="1"/>
    <col min="7926" max="7926" width="20.28515625" style="193" bestFit="1" customWidth="1"/>
    <col min="7927" max="7927" width="15.42578125" style="193" customWidth="1"/>
    <col min="7928" max="7928" width="20.7109375" style="193" bestFit="1" customWidth="1"/>
    <col min="7929" max="7931" width="20.7109375" style="193" customWidth="1"/>
    <col min="7932" max="7932" width="20.7109375" style="193" bestFit="1" customWidth="1"/>
    <col min="7933" max="7933" width="12.140625" style="193" customWidth="1"/>
    <col min="7934" max="8162" width="8.7109375" style="193" customWidth="1"/>
    <col min="8163" max="8163" width="7.28515625" style="193" customWidth="1"/>
    <col min="8164" max="8164" width="18.28515625" style="193" customWidth="1"/>
    <col min="8165" max="8165" width="23.42578125" style="193" bestFit="1" customWidth="1"/>
    <col min="8166" max="8167" width="10.140625" style="193" bestFit="1" customWidth="1"/>
    <col min="8168" max="8170" width="10.140625" style="193" customWidth="1"/>
    <col min="8171" max="8171" width="16.28515625" style="193" customWidth="1"/>
    <col min="8172" max="8172" width="20.28515625" style="193" bestFit="1" customWidth="1"/>
    <col min="8173" max="8175" width="20.28515625" style="193" customWidth="1"/>
    <col min="8176" max="8176" width="20.28515625" style="193" bestFit="1" customWidth="1"/>
    <col min="8177" max="8177" width="15.42578125" style="193" customWidth="1"/>
    <col min="8178" max="8178" width="20.28515625" style="193" bestFit="1" customWidth="1"/>
    <col min="8179" max="8181" width="20.28515625" style="193" customWidth="1"/>
    <col min="8182" max="8182" width="20.28515625" style="193" bestFit="1" customWidth="1"/>
    <col min="8183" max="8183" width="15.42578125" style="193" customWidth="1"/>
    <col min="8184" max="8184" width="20.7109375" style="193" bestFit="1" customWidth="1"/>
    <col min="8185" max="8187" width="20.7109375" style="193" customWidth="1"/>
    <col min="8188" max="8188" width="20.7109375" style="193" bestFit="1" customWidth="1"/>
    <col min="8189" max="8189" width="12.140625" style="193" customWidth="1"/>
    <col min="8190" max="8418" width="8.7109375" style="193" customWidth="1"/>
    <col min="8419" max="8419" width="7.28515625" style="193" customWidth="1"/>
    <col min="8420" max="8420" width="18.28515625" style="193" customWidth="1"/>
    <col min="8421" max="8421" width="23.42578125" style="193" bestFit="1" customWidth="1"/>
    <col min="8422" max="8423" width="10.140625" style="193" bestFit="1" customWidth="1"/>
    <col min="8424" max="8426" width="10.140625" style="193" customWidth="1"/>
    <col min="8427" max="8427" width="16.28515625" style="193" customWidth="1"/>
    <col min="8428" max="8428" width="20.28515625" style="193" bestFit="1" customWidth="1"/>
    <col min="8429" max="8431" width="20.28515625" style="193" customWidth="1"/>
    <col min="8432" max="8432" width="20.28515625" style="193" bestFit="1" customWidth="1"/>
    <col min="8433" max="8433" width="15.42578125" style="193" customWidth="1"/>
    <col min="8434" max="8434" width="20.28515625" style="193" bestFit="1" customWidth="1"/>
    <col min="8435" max="8437" width="20.28515625" style="193" customWidth="1"/>
    <col min="8438" max="8438" width="20.28515625" style="193" bestFit="1" customWidth="1"/>
    <col min="8439" max="8439" width="15.42578125" style="193" customWidth="1"/>
    <col min="8440" max="8440" width="20.7109375" style="193" bestFit="1" customWidth="1"/>
    <col min="8441" max="8443" width="20.7109375" style="193" customWidth="1"/>
    <col min="8444" max="8444" width="20.7109375" style="193" bestFit="1" customWidth="1"/>
    <col min="8445" max="8445" width="12.140625" style="193" customWidth="1"/>
    <col min="8446" max="8674" width="8.7109375" style="193" customWidth="1"/>
    <col min="8675" max="8675" width="7.28515625" style="193" customWidth="1"/>
    <col min="8676" max="8676" width="18.28515625" style="193" customWidth="1"/>
    <col min="8677" max="8677" width="23.42578125" style="193" bestFit="1" customWidth="1"/>
    <col min="8678" max="8679" width="10.140625" style="193" bestFit="1" customWidth="1"/>
    <col min="8680" max="8682" width="10.140625" style="193" customWidth="1"/>
    <col min="8683" max="8683" width="16.28515625" style="193" customWidth="1"/>
    <col min="8684" max="8684" width="20.28515625" style="193" bestFit="1" customWidth="1"/>
    <col min="8685" max="8687" width="20.28515625" style="193" customWidth="1"/>
    <col min="8688" max="8688" width="20.28515625" style="193" bestFit="1" customWidth="1"/>
    <col min="8689" max="8689" width="15.42578125" style="193" customWidth="1"/>
    <col min="8690" max="8690" width="20.28515625" style="193" bestFit="1" customWidth="1"/>
    <col min="8691" max="8693" width="20.28515625" style="193" customWidth="1"/>
    <col min="8694" max="8694" width="20.28515625" style="193" bestFit="1" customWidth="1"/>
    <col min="8695" max="8695" width="15.42578125" style="193" customWidth="1"/>
    <col min="8696" max="8696" width="20.7109375" style="193" bestFit="1" customWidth="1"/>
    <col min="8697" max="8699" width="20.7109375" style="193" customWidth="1"/>
    <col min="8700" max="8700" width="20.7109375" style="193" bestFit="1" customWidth="1"/>
    <col min="8701" max="8701" width="12.140625" style="193" customWidth="1"/>
    <col min="8702" max="8930" width="8.7109375" style="193" customWidth="1"/>
    <col min="8931" max="8931" width="7.28515625" style="193" customWidth="1"/>
    <col min="8932" max="8932" width="18.28515625" style="193" customWidth="1"/>
    <col min="8933" max="8933" width="23.42578125" style="193" bestFit="1" customWidth="1"/>
    <col min="8934" max="8935" width="10.140625" style="193" bestFit="1" customWidth="1"/>
    <col min="8936" max="8938" width="10.140625" style="193" customWidth="1"/>
    <col min="8939" max="8939" width="16.28515625" style="193" customWidth="1"/>
    <col min="8940" max="8940" width="20.28515625" style="193" bestFit="1" customWidth="1"/>
    <col min="8941" max="8943" width="20.28515625" style="193" customWidth="1"/>
    <col min="8944" max="8944" width="20.28515625" style="193" bestFit="1" customWidth="1"/>
    <col min="8945" max="8945" width="15.42578125" style="193" customWidth="1"/>
    <col min="8946" max="8946" width="20.28515625" style="193" bestFit="1" customWidth="1"/>
    <col min="8947" max="8949" width="20.28515625" style="193" customWidth="1"/>
    <col min="8950" max="8950" width="20.28515625" style="193" bestFit="1" customWidth="1"/>
    <col min="8951" max="8951" width="15.42578125" style="193" customWidth="1"/>
    <col min="8952" max="8952" width="20.7109375" style="193" bestFit="1" customWidth="1"/>
    <col min="8953" max="8955" width="20.7109375" style="193" customWidth="1"/>
    <col min="8956" max="8956" width="20.7109375" style="193" bestFit="1" customWidth="1"/>
    <col min="8957" max="8957" width="12.140625" style="193" customWidth="1"/>
    <col min="8958" max="9186" width="8.7109375" style="193" customWidth="1"/>
    <col min="9187" max="9187" width="7.28515625" style="193" customWidth="1"/>
    <col min="9188" max="9188" width="18.28515625" style="193" customWidth="1"/>
    <col min="9189" max="9189" width="23.42578125" style="193" bestFit="1" customWidth="1"/>
    <col min="9190" max="9191" width="10.140625" style="193" bestFit="1" customWidth="1"/>
    <col min="9192" max="9194" width="10.140625" style="193" customWidth="1"/>
    <col min="9195" max="9195" width="16.28515625" style="193" customWidth="1"/>
    <col min="9196" max="9196" width="20.28515625" style="193" bestFit="1" customWidth="1"/>
    <col min="9197" max="9199" width="20.28515625" style="193" customWidth="1"/>
    <col min="9200" max="9200" width="20.28515625" style="193" bestFit="1" customWidth="1"/>
    <col min="9201" max="9201" width="15.42578125" style="193" customWidth="1"/>
    <col min="9202" max="9202" width="20.28515625" style="193" bestFit="1" customWidth="1"/>
    <col min="9203" max="9205" width="20.28515625" style="193" customWidth="1"/>
    <col min="9206" max="9206" width="20.28515625" style="193" bestFit="1" customWidth="1"/>
    <col min="9207" max="9207" width="15.42578125" style="193" customWidth="1"/>
    <col min="9208" max="9208" width="20.7109375" style="193" bestFit="1" customWidth="1"/>
    <col min="9209" max="9211" width="20.7109375" style="193" customWidth="1"/>
    <col min="9212" max="9212" width="20.7109375" style="193" bestFit="1" customWidth="1"/>
    <col min="9213" max="9213" width="12.140625" style="193" customWidth="1"/>
    <col min="9214" max="9442" width="8.7109375" style="193" customWidth="1"/>
    <col min="9443" max="9443" width="7.28515625" style="193" customWidth="1"/>
    <col min="9444" max="9444" width="18.28515625" style="193" customWidth="1"/>
    <col min="9445" max="9445" width="23.42578125" style="193" bestFit="1" customWidth="1"/>
    <col min="9446" max="9447" width="10.140625" style="193" bestFit="1" customWidth="1"/>
    <col min="9448" max="9450" width="10.140625" style="193" customWidth="1"/>
    <col min="9451" max="9451" width="16.28515625" style="193" customWidth="1"/>
    <col min="9452" max="9452" width="20.28515625" style="193" bestFit="1" customWidth="1"/>
    <col min="9453" max="9455" width="20.28515625" style="193" customWidth="1"/>
    <col min="9456" max="9456" width="20.28515625" style="193" bestFit="1" customWidth="1"/>
    <col min="9457" max="9457" width="15.42578125" style="193" customWidth="1"/>
    <col min="9458" max="9458" width="20.28515625" style="193" bestFit="1" customWidth="1"/>
    <col min="9459" max="9461" width="20.28515625" style="193" customWidth="1"/>
    <col min="9462" max="9462" width="20.28515625" style="193" bestFit="1" customWidth="1"/>
    <col min="9463" max="9463" width="15.42578125" style="193" customWidth="1"/>
    <col min="9464" max="9464" width="20.7109375" style="193" bestFit="1" customWidth="1"/>
    <col min="9465" max="9467" width="20.7109375" style="193" customWidth="1"/>
    <col min="9468" max="9468" width="20.7109375" style="193" bestFit="1" customWidth="1"/>
    <col min="9469" max="9469" width="12.140625" style="193" customWidth="1"/>
    <col min="9470" max="9698" width="8.7109375" style="193" customWidth="1"/>
    <col min="9699" max="9699" width="7.28515625" style="193" customWidth="1"/>
    <col min="9700" max="9700" width="18.28515625" style="193" customWidth="1"/>
    <col min="9701" max="9701" width="23.42578125" style="193" bestFit="1" customWidth="1"/>
    <col min="9702" max="9703" width="10.140625" style="193" bestFit="1" customWidth="1"/>
    <col min="9704" max="9706" width="10.140625" style="193" customWidth="1"/>
    <col min="9707" max="9707" width="16.28515625" style="193" customWidth="1"/>
    <col min="9708" max="9708" width="20.28515625" style="193" bestFit="1" customWidth="1"/>
    <col min="9709" max="9711" width="20.28515625" style="193" customWidth="1"/>
    <col min="9712" max="9712" width="20.28515625" style="193" bestFit="1" customWidth="1"/>
    <col min="9713" max="9713" width="15.42578125" style="193" customWidth="1"/>
    <col min="9714" max="9714" width="20.28515625" style="193" bestFit="1" customWidth="1"/>
    <col min="9715" max="9717" width="20.28515625" style="193" customWidth="1"/>
    <col min="9718" max="9718" width="20.28515625" style="193" bestFit="1" customWidth="1"/>
    <col min="9719" max="9719" width="15.42578125" style="193" customWidth="1"/>
    <col min="9720" max="9720" width="20.7109375" style="193" bestFit="1" customWidth="1"/>
    <col min="9721" max="9723" width="20.7109375" style="193" customWidth="1"/>
    <col min="9724" max="9724" width="20.7109375" style="193" bestFit="1" customWidth="1"/>
    <col min="9725" max="9725" width="12.140625" style="193" customWidth="1"/>
    <col min="9726" max="9954" width="8.7109375" style="193" customWidth="1"/>
    <col min="9955" max="9955" width="7.28515625" style="193" customWidth="1"/>
    <col min="9956" max="9956" width="18.28515625" style="193" customWidth="1"/>
    <col min="9957" max="9957" width="23.42578125" style="193" bestFit="1" customWidth="1"/>
    <col min="9958" max="9959" width="10.140625" style="193" bestFit="1" customWidth="1"/>
    <col min="9960" max="9962" width="10.140625" style="193" customWidth="1"/>
    <col min="9963" max="9963" width="16.28515625" style="193" customWidth="1"/>
    <col min="9964" max="9964" width="20.28515625" style="193" bestFit="1" customWidth="1"/>
    <col min="9965" max="9967" width="20.28515625" style="193" customWidth="1"/>
    <col min="9968" max="9968" width="20.28515625" style="193" bestFit="1" customWidth="1"/>
    <col min="9969" max="9969" width="15.42578125" style="193" customWidth="1"/>
    <col min="9970" max="9970" width="20.28515625" style="193" bestFit="1" customWidth="1"/>
    <col min="9971" max="9973" width="20.28515625" style="193" customWidth="1"/>
    <col min="9974" max="9974" width="20.28515625" style="193" bestFit="1" customWidth="1"/>
    <col min="9975" max="9975" width="15.42578125" style="193" customWidth="1"/>
    <col min="9976" max="9976" width="20.7109375" style="193" bestFit="1" customWidth="1"/>
    <col min="9977" max="9979" width="20.7109375" style="193" customWidth="1"/>
    <col min="9980" max="9980" width="20.7109375" style="193" bestFit="1" customWidth="1"/>
    <col min="9981" max="9981" width="12.140625" style="193" customWidth="1"/>
    <col min="9982" max="10210" width="8.7109375" style="193" customWidth="1"/>
    <col min="10211" max="10211" width="7.28515625" style="193" customWidth="1"/>
    <col min="10212" max="10212" width="18.28515625" style="193" customWidth="1"/>
    <col min="10213" max="10213" width="23.42578125" style="193" bestFit="1" customWidth="1"/>
    <col min="10214" max="10215" width="10.140625" style="193" bestFit="1" customWidth="1"/>
    <col min="10216" max="10218" width="10.140625" style="193" customWidth="1"/>
    <col min="10219" max="10219" width="16.28515625" style="193" customWidth="1"/>
    <col min="10220" max="10220" width="20.28515625" style="193" bestFit="1" customWidth="1"/>
    <col min="10221" max="10223" width="20.28515625" style="193" customWidth="1"/>
    <col min="10224" max="10224" width="20.28515625" style="193" bestFit="1" customWidth="1"/>
    <col min="10225" max="10225" width="15.42578125" style="193" customWidth="1"/>
    <col min="10226" max="10226" width="20.28515625" style="193" bestFit="1" customWidth="1"/>
    <col min="10227" max="10229" width="20.28515625" style="193" customWidth="1"/>
    <col min="10230" max="10230" width="20.28515625" style="193" bestFit="1" customWidth="1"/>
    <col min="10231" max="10231" width="15.42578125" style="193" customWidth="1"/>
    <col min="10232" max="10232" width="20.7109375" style="193" bestFit="1" customWidth="1"/>
    <col min="10233" max="10235" width="20.7109375" style="193" customWidth="1"/>
    <col min="10236" max="10236" width="20.7109375" style="193" bestFit="1" customWidth="1"/>
    <col min="10237" max="10237" width="12.140625" style="193" customWidth="1"/>
    <col min="10238" max="10466" width="8.7109375" style="193" customWidth="1"/>
    <col min="10467" max="10467" width="7.28515625" style="193" customWidth="1"/>
    <col min="10468" max="10468" width="18.28515625" style="193" customWidth="1"/>
    <col min="10469" max="10469" width="23.42578125" style="193" bestFit="1" customWidth="1"/>
    <col min="10470" max="10471" width="10.140625" style="193" bestFit="1" customWidth="1"/>
    <col min="10472" max="10474" width="10.140625" style="193" customWidth="1"/>
    <col min="10475" max="10475" width="16.28515625" style="193" customWidth="1"/>
    <col min="10476" max="10476" width="20.28515625" style="193" bestFit="1" customWidth="1"/>
    <col min="10477" max="10479" width="20.28515625" style="193" customWidth="1"/>
    <col min="10480" max="10480" width="20.28515625" style="193" bestFit="1" customWidth="1"/>
    <col min="10481" max="10481" width="15.42578125" style="193" customWidth="1"/>
    <col min="10482" max="10482" width="20.28515625" style="193" bestFit="1" customWidth="1"/>
    <col min="10483" max="10485" width="20.28515625" style="193" customWidth="1"/>
    <col min="10486" max="10486" width="20.28515625" style="193" bestFit="1" customWidth="1"/>
    <col min="10487" max="10487" width="15.42578125" style="193" customWidth="1"/>
    <col min="10488" max="10488" width="20.7109375" style="193" bestFit="1" customWidth="1"/>
    <col min="10489" max="10491" width="20.7109375" style="193" customWidth="1"/>
    <col min="10492" max="10492" width="20.7109375" style="193" bestFit="1" customWidth="1"/>
    <col min="10493" max="10493" width="12.140625" style="193" customWidth="1"/>
    <col min="10494" max="10722" width="8.7109375" style="193" customWidth="1"/>
    <col min="10723" max="10723" width="7.28515625" style="193" customWidth="1"/>
    <col min="10724" max="10724" width="18.28515625" style="193" customWidth="1"/>
    <col min="10725" max="10725" width="23.42578125" style="193" bestFit="1" customWidth="1"/>
    <col min="10726" max="10727" width="10.140625" style="193" bestFit="1" customWidth="1"/>
    <col min="10728" max="10730" width="10.140625" style="193" customWidth="1"/>
    <col min="10731" max="10731" width="16.28515625" style="193" customWidth="1"/>
    <col min="10732" max="10732" width="20.28515625" style="193" bestFit="1" customWidth="1"/>
    <col min="10733" max="10735" width="20.28515625" style="193" customWidth="1"/>
    <col min="10736" max="10736" width="20.28515625" style="193" bestFit="1" customWidth="1"/>
    <col min="10737" max="10737" width="15.42578125" style="193" customWidth="1"/>
    <col min="10738" max="10738" width="20.28515625" style="193" bestFit="1" customWidth="1"/>
    <col min="10739" max="10741" width="20.28515625" style="193" customWidth="1"/>
    <col min="10742" max="10742" width="20.28515625" style="193" bestFit="1" customWidth="1"/>
    <col min="10743" max="10743" width="15.42578125" style="193" customWidth="1"/>
    <col min="10744" max="10744" width="20.7109375" style="193" bestFit="1" customWidth="1"/>
    <col min="10745" max="10747" width="20.7109375" style="193" customWidth="1"/>
    <col min="10748" max="10748" width="20.7109375" style="193" bestFit="1" customWidth="1"/>
    <col min="10749" max="10749" width="12.140625" style="193" customWidth="1"/>
    <col min="10750" max="10978" width="8.7109375" style="193" customWidth="1"/>
    <col min="10979" max="10979" width="7.28515625" style="193" customWidth="1"/>
    <col min="10980" max="10980" width="18.28515625" style="193" customWidth="1"/>
    <col min="10981" max="10981" width="23.42578125" style="193" bestFit="1" customWidth="1"/>
    <col min="10982" max="10983" width="10.140625" style="193" bestFit="1" customWidth="1"/>
    <col min="10984" max="10986" width="10.140625" style="193" customWidth="1"/>
    <col min="10987" max="10987" width="16.28515625" style="193" customWidth="1"/>
    <col min="10988" max="10988" width="20.28515625" style="193" bestFit="1" customWidth="1"/>
    <col min="10989" max="10991" width="20.28515625" style="193" customWidth="1"/>
    <col min="10992" max="10992" width="20.28515625" style="193" bestFit="1" customWidth="1"/>
    <col min="10993" max="10993" width="15.42578125" style="193" customWidth="1"/>
    <col min="10994" max="10994" width="20.28515625" style="193" bestFit="1" customWidth="1"/>
    <col min="10995" max="10997" width="20.28515625" style="193" customWidth="1"/>
    <col min="10998" max="10998" width="20.28515625" style="193" bestFit="1" customWidth="1"/>
    <col min="10999" max="10999" width="15.42578125" style="193" customWidth="1"/>
    <col min="11000" max="11000" width="20.7109375" style="193" bestFit="1" customWidth="1"/>
    <col min="11001" max="11003" width="20.7109375" style="193" customWidth="1"/>
    <col min="11004" max="11004" width="20.7109375" style="193" bestFit="1" customWidth="1"/>
    <col min="11005" max="11005" width="12.140625" style="193" customWidth="1"/>
    <col min="11006" max="11234" width="8.7109375" style="193" customWidth="1"/>
    <col min="11235" max="11235" width="7.28515625" style="193" customWidth="1"/>
    <col min="11236" max="11236" width="18.28515625" style="193" customWidth="1"/>
    <col min="11237" max="11237" width="23.42578125" style="193" bestFit="1" customWidth="1"/>
    <col min="11238" max="11239" width="10.140625" style="193" bestFit="1" customWidth="1"/>
    <col min="11240" max="11242" width="10.140625" style="193" customWidth="1"/>
    <col min="11243" max="11243" width="16.28515625" style="193" customWidth="1"/>
    <col min="11244" max="11244" width="20.28515625" style="193" bestFit="1" customWidth="1"/>
    <col min="11245" max="11247" width="20.28515625" style="193" customWidth="1"/>
    <col min="11248" max="11248" width="20.28515625" style="193" bestFit="1" customWidth="1"/>
    <col min="11249" max="11249" width="15.42578125" style="193" customWidth="1"/>
    <col min="11250" max="11250" width="20.28515625" style="193" bestFit="1" customWidth="1"/>
    <col min="11251" max="11253" width="20.28515625" style="193" customWidth="1"/>
    <col min="11254" max="11254" width="20.28515625" style="193" bestFit="1" customWidth="1"/>
    <col min="11255" max="11255" width="15.42578125" style="193" customWidth="1"/>
    <col min="11256" max="11256" width="20.7109375" style="193" bestFit="1" customWidth="1"/>
    <col min="11257" max="11259" width="20.7109375" style="193" customWidth="1"/>
    <col min="11260" max="11260" width="20.7109375" style="193" bestFit="1" customWidth="1"/>
    <col min="11261" max="11261" width="12.140625" style="193" customWidth="1"/>
    <col min="11262" max="11490" width="8.7109375" style="193" customWidth="1"/>
    <col min="11491" max="11491" width="7.28515625" style="193" customWidth="1"/>
    <col min="11492" max="11492" width="18.28515625" style="193" customWidth="1"/>
    <col min="11493" max="11493" width="23.42578125" style="193" bestFit="1" customWidth="1"/>
    <col min="11494" max="11495" width="10.140625" style="193" bestFit="1" customWidth="1"/>
    <col min="11496" max="11498" width="10.140625" style="193" customWidth="1"/>
    <col min="11499" max="11499" width="16.28515625" style="193" customWidth="1"/>
    <col min="11500" max="11500" width="20.28515625" style="193" bestFit="1" customWidth="1"/>
    <col min="11501" max="11503" width="20.28515625" style="193" customWidth="1"/>
    <col min="11504" max="11504" width="20.28515625" style="193" bestFit="1" customWidth="1"/>
    <col min="11505" max="11505" width="15.42578125" style="193" customWidth="1"/>
    <col min="11506" max="11506" width="20.28515625" style="193" bestFit="1" customWidth="1"/>
    <col min="11507" max="11509" width="20.28515625" style="193" customWidth="1"/>
    <col min="11510" max="11510" width="20.28515625" style="193" bestFit="1" customWidth="1"/>
    <col min="11511" max="11511" width="15.42578125" style="193" customWidth="1"/>
    <col min="11512" max="11512" width="20.7109375" style="193" bestFit="1" customWidth="1"/>
    <col min="11513" max="11515" width="20.7109375" style="193" customWidth="1"/>
    <col min="11516" max="11516" width="20.7109375" style="193" bestFit="1" customWidth="1"/>
    <col min="11517" max="11517" width="12.140625" style="193" customWidth="1"/>
    <col min="11518" max="11746" width="8.7109375" style="193" customWidth="1"/>
    <col min="11747" max="11747" width="7.28515625" style="193" customWidth="1"/>
    <col min="11748" max="11748" width="18.28515625" style="193" customWidth="1"/>
    <col min="11749" max="11749" width="23.42578125" style="193" bestFit="1" customWidth="1"/>
    <col min="11750" max="11751" width="10.140625" style="193" bestFit="1" customWidth="1"/>
    <col min="11752" max="11754" width="10.140625" style="193" customWidth="1"/>
    <col min="11755" max="11755" width="16.28515625" style="193" customWidth="1"/>
    <col min="11756" max="11756" width="20.28515625" style="193" bestFit="1" customWidth="1"/>
    <col min="11757" max="11759" width="20.28515625" style="193" customWidth="1"/>
    <col min="11760" max="11760" width="20.28515625" style="193" bestFit="1" customWidth="1"/>
    <col min="11761" max="11761" width="15.42578125" style="193" customWidth="1"/>
    <col min="11762" max="11762" width="20.28515625" style="193" bestFit="1" customWidth="1"/>
    <col min="11763" max="11765" width="20.28515625" style="193" customWidth="1"/>
    <col min="11766" max="11766" width="20.28515625" style="193" bestFit="1" customWidth="1"/>
    <col min="11767" max="11767" width="15.42578125" style="193" customWidth="1"/>
    <col min="11768" max="11768" width="20.7109375" style="193" bestFit="1" customWidth="1"/>
    <col min="11769" max="11771" width="20.7109375" style="193" customWidth="1"/>
    <col min="11772" max="11772" width="20.7109375" style="193" bestFit="1" customWidth="1"/>
    <col min="11773" max="11773" width="12.140625" style="193" customWidth="1"/>
    <col min="11774" max="12002" width="8.7109375" style="193" customWidth="1"/>
    <col min="12003" max="12003" width="7.28515625" style="193" customWidth="1"/>
    <col min="12004" max="12004" width="18.28515625" style="193" customWidth="1"/>
    <col min="12005" max="12005" width="23.42578125" style="193" bestFit="1" customWidth="1"/>
    <col min="12006" max="12007" width="10.140625" style="193" bestFit="1" customWidth="1"/>
    <col min="12008" max="12010" width="10.140625" style="193" customWidth="1"/>
    <col min="12011" max="12011" width="16.28515625" style="193" customWidth="1"/>
    <col min="12012" max="12012" width="20.28515625" style="193" bestFit="1" customWidth="1"/>
    <col min="12013" max="12015" width="20.28515625" style="193" customWidth="1"/>
    <col min="12016" max="12016" width="20.28515625" style="193" bestFit="1" customWidth="1"/>
    <col min="12017" max="12017" width="15.42578125" style="193" customWidth="1"/>
    <col min="12018" max="12018" width="20.28515625" style="193" bestFit="1" customWidth="1"/>
    <col min="12019" max="12021" width="20.28515625" style="193" customWidth="1"/>
    <col min="12022" max="12022" width="20.28515625" style="193" bestFit="1" customWidth="1"/>
    <col min="12023" max="12023" width="15.42578125" style="193" customWidth="1"/>
    <col min="12024" max="12024" width="20.7109375" style="193" bestFit="1" customWidth="1"/>
    <col min="12025" max="12027" width="20.7109375" style="193" customWidth="1"/>
    <col min="12028" max="12028" width="20.7109375" style="193" bestFit="1" customWidth="1"/>
    <col min="12029" max="12029" width="12.140625" style="193" customWidth="1"/>
    <col min="12030" max="12258" width="8.7109375" style="193" customWidth="1"/>
    <col min="12259" max="12259" width="7.28515625" style="193" customWidth="1"/>
    <col min="12260" max="12260" width="18.28515625" style="193" customWidth="1"/>
    <col min="12261" max="12261" width="23.42578125" style="193" bestFit="1" customWidth="1"/>
    <col min="12262" max="12263" width="10.140625" style="193" bestFit="1" customWidth="1"/>
    <col min="12264" max="12266" width="10.140625" style="193" customWidth="1"/>
    <col min="12267" max="12267" width="16.28515625" style="193" customWidth="1"/>
    <col min="12268" max="12268" width="20.28515625" style="193" bestFit="1" customWidth="1"/>
    <col min="12269" max="12271" width="20.28515625" style="193" customWidth="1"/>
    <col min="12272" max="12272" width="20.28515625" style="193" bestFit="1" customWidth="1"/>
    <col min="12273" max="12273" width="15.42578125" style="193" customWidth="1"/>
    <col min="12274" max="12274" width="20.28515625" style="193" bestFit="1" customWidth="1"/>
    <col min="12275" max="12277" width="20.28515625" style="193" customWidth="1"/>
    <col min="12278" max="12278" width="20.28515625" style="193" bestFit="1" customWidth="1"/>
    <col min="12279" max="12279" width="15.42578125" style="193" customWidth="1"/>
    <col min="12280" max="12280" width="20.7109375" style="193" bestFit="1" customWidth="1"/>
    <col min="12281" max="12283" width="20.7109375" style="193" customWidth="1"/>
    <col min="12284" max="12284" width="20.7109375" style="193" bestFit="1" customWidth="1"/>
    <col min="12285" max="12285" width="12.140625" style="193" customWidth="1"/>
    <col min="12286" max="12514" width="8.7109375" style="193" customWidth="1"/>
    <col min="12515" max="12515" width="7.28515625" style="193" customWidth="1"/>
    <col min="12516" max="12516" width="18.28515625" style="193" customWidth="1"/>
    <col min="12517" max="12517" width="23.42578125" style="193" bestFit="1" customWidth="1"/>
    <col min="12518" max="12519" width="10.140625" style="193" bestFit="1" customWidth="1"/>
    <col min="12520" max="12522" width="10.140625" style="193" customWidth="1"/>
    <col min="12523" max="12523" width="16.28515625" style="193" customWidth="1"/>
    <col min="12524" max="12524" width="20.28515625" style="193" bestFit="1" customWidth="1"/>
    <col min="12525" max="12527" width="20.28515625" style="193" customWidth="1"/>
    <col min="12528" max="12528" width="20.28515625" style="193" bestFit="1" customWidth="1"/>
    <col min="12529" max="12529" width="15.42578125" style="193" customWidth="1"/>
    <col min="12530" max="12530" width="20.28515625" style="193" bestFit="1" customWidth="1"/>
    <col min="12531" max="12533" width="20.28515625" style="193" customWidth="1"/>
    <col min="12534" max="12534" width="20.28515625" style="193" bestFit="1" customWidth="1"/>
    <col min="12535" max="12535" width="15.42578125" style="193" customWidth="1"/>
    <col min="12536" max="12536" width="20.7109375" style="193" bestFit="1" customWidth="1"/>
    <col min="12537" max="12539" width="20.7109375" style="193" customWidth="1"/>
    <col min="12540" max="12540" width="20.7109375" style="193" bestFit="1" customWidth="1"/>
    <col min="12541" max="12541" width="12.140625" style="193" customWidth="1"/>
    <col min="12542" max="12770" width="8.7109375" style="193" customWidth="1"/>
    <col min="12771" max="12771" width="7.28515625" style="193" customWidth="1"/>
    <col min="12772" max="12772" width="18.28515625" style="193" customWidth="1"/>
    <col min="12773" max="12773" width="23.42578125" style="193" bestFit="1" customWidth="1"/>
    <col min="12774" max="12775" width="10.140625" style="193" bestFit="1" customWidth="1"/>
    <col min="12776" max="12778" width="10.140625" style="193" customWidth="1"/>
    <col min="12779" max="12779" width="16.28515625" style="193" customWidth="1"/>
    <col min="12780" max="12780" width="20.28515625" style="193" bestFit="1" customWidth="1"/>
    <col min="12781" max="12783" width="20.28515625" style="193" customWidth="1"/>
    <col min="12784" max="12784" width="20.28515625" style="193" bestFit="1" customWidth="1"/>
    <col min="12785" max="12785" width="15.42578125" style="193" customWidth="1"/>
    <col min="12786" max="12786" width="20.28515625" style="193" bestFit="1" customWidth="1"/>
    <col min="12787" max="12789" width="20.28515625" style="193" customWidth="1"/>
    <col min="12790" max="12790" width="20.28515625" style="193" bestFit="1" customWidth="1"/>
    <col min="12791" max="12791" width="15.42578125" style="193" customWidth="1"/>
    <col min="12792" max="12792" width="20.7109375" style="193" bestFit="1" customWidth="1"/>
    <col min="12793" max="12795" width="20.7109375" style="193" customWidth="1"/>
    <col min="12796" max="12796" width="20.7109375" style="193" bestFit="1" customWidth="1"/>
    <col min="12797" max="12797" width="12.140625" style="193" customWidth="1"/>
    <col min="12798" max="13026" width="8.7109375" style="193" customWidth="1"/>
    <col min="13027" max="13027" width="7.28515625" style="193" customWidth="1"/>
    <col min="13028" max="13028" width="18.28515625" style="193" customWidth="1"/>
    <col min="13029" max="13029" width="23.42578125" style="193" bestFit="1" customWidth="1"/>
    <col min="13030" max="13031" width="10.140625" style="193" bestFit="1" customWidth="1"/>
    <col min="13032" max="13034" width="10.140625" style="193" customWidth="1"/>
    <col min="13035" max="13035" width="16.28515625" style="193" customWidth="1"/>
    <col min="13036" max="13036" width="20.28515625" style="193" bestFit="1" customWidth="1"/>
    <col min="13037" max="13039" width="20.28515625" style="193" customWidth="1"/>
    <col min="13040" max="13040" width="20.28515625" style="193" bestFit="1" customWidth="1"/>
    <col min="13041" max="13041" width="15.42578125" style="193" customWidth="1"/>
    <col min="13042" max="13042" width="20.28515625" style="193" bestFit="1" customWidth="1"/>
    <col min="13043" max="13045" width="20.28515625" style="193" customWidth="1"/>
    <col min="13046" max="13046" width="20.28515625" style="193" bestFit="1" customWidth="1"/>
    <col min="13047" max="13047" width="15.42578125" style="193" customWidth="1"/>
    <col min="13048" max="13048" width="20.7109375" style="193" bestFit="1" customWidth="1"/>
    <col min="13049" max="13051" width="20.7109375" style="193" customWidth="1"/>
    <col min="13052" max="13052" width="20.7109375" style="193" bestFit="1" customWidth="1"/>
    <col min="13053" max="13053" width="12.140625" style="193" customWidth="1"/>
    <col min="13054" max="13282" width="8.7109375" style="193" customWidth="1"/>
    <col min="13283" max="13283" width="7.28515625" style="193" customWidth="1"/>
    <col min="13284" max="13284" width="18.28515625" style="193" customWidth="1"/>
    <col min="13285" max="13285" width="23.42578125" style="193" bestFit="1" customWidth="1"/>
    <col min="13286" max="13287" width="10.140625" style="193" bestFit="1" customWidth="1"/>
    <col min="13288" max="13290" width="10.140625" style="193" customWidth="1"/>
    <col min="13291" max="13291" width="16.28515625" style="193" customWidth="1"/>
    <col min="13292" max="13292" width="20.28515625" style="193" bestFit="1" customWidth="1"/>
    <col min="13293" max="13295" width="20.28515625" style="193" customWidth="1"/>
    <col min="13296" max="13296" width="20.28515625" style="193" bestFit="1" customWidth="1"/>
    <col min="13297" max="13297" width="15.42578125" style="193" customWidth="1"/>
    <col min="13298" max="13298" width="20.28515625" style="193" bestFit="1" customWidth="1"/>
    <col min="13299" max="13301" width="20.28515625" style="193" customWidth="1"/>
    <col min="13302" max="13302" width="20.28515625" style="193" bestFit="1" customWidth="1"/>
    <col min="13303" max="13303" width="15.42578125" style="193" customWidth="1"/>
    <col min="13304" max="13304" width="20.7109375" style="193" bestFit="1" customWidth="1"/>
    <col min="13305" max="13307" width="20.7109375" style="193" customWidth="1"/>
    <col min="13308" max="13308" width="20.7109375" style="193" bestFit="1" customWidth="1"/>
    <col min="13309" max="13309" width="12.140625" style="193" customWidth="1"/>
    <col min="13310" max="13538" width="8.7109375" style="193" customWidth="1"/>
    <col min="13539" max="13539" width="7.28515625" style="193" customWidth="1"/>
    <col min="13540" max="13540" width="18.28515625" style="193" customWidth="1"/>
    <col min="13541" max="13541" width="23.42578125" style="193" bestFit="1" customWidth="1"/>
    <col min="13542" max="13543" width="10.140625" style="193" bestFit="1" customWidth="1"/>
    <col min="13544" max="13546" width="10.140625" style="193" customWidth="1"/>
    <col min="13547" max="13547" width="16.28515625" style="193" customWidth="1"/>
    <col min="13548" max="13548" width="20.28515625" style="193" bestFit="1" customWidth="1"/>
    <col min="13549" max="13551" width="20.28515625" style="193" customWidth="1"/>
    <col min="13552" max="13552" width="20.28515625" style="193" bestFit="1" customWidth="1"/>
    <col min="13553" max="13553" width="15.42578125" style="193" customWidth="1"/>
    <col min="13554" max="13554" width="20.28515625" style="193" bestFit="1" customWidth="1"/>
    <col min="13555" max="13557" width="20.28515625" style="193" customWidth="1"/>
    <col min="13558" max="13558" width="20.28515625" style="193" bestFit="1" customWidth="1"/>
    <col min="13559" max="13559" width="15.42578125" style="193" customWidth="1"/>
    <col min="13560" max="13560" width="20.7109375" style="193" bestFit="1" customWidth="1"/>
    <col min="13561" max="13563" width="20.7109375" style="193" customWidth="1"/>
    <col min="13564" max="13564" width="20.7109375" style="193" bestFit="1" customWidth="1"/>
    <col min="13565" max="13565" width="12.140625" style="193" customWidth="1"/>
    <col min="13566" max="13794" width="8.7109375" style="193" customWidth="1"/>
    <col min="13795" max="13795" width="7.28515625" style="193" customWidth="1"/>
    <col min="13796" max="13796" width="18.28515625" style="193" customWidth="1"/>
    <col min="13797" max="13797" width="23.42578125" style="193" bestFit="1" customWidth="1"/>
    <col min="13798" max="13799" width="10.140625" style="193" bestFit="1" customWidth="1"/>
    <col min="13800" max="13802" width="10.140625" style="193" customWidth="1"/>
    <col min="13803" max="13803" width="16.28515625" style="193" customWidth="1"/>
    <col min="13804" max="13804" width="20.28515625" style="193" bestFit="1" customWidth="1"/>
    <col min="13805" max="13807" width="20.28515625" style="193" customWidth="1"/>
    <col min="13808" max="13808" width="20.28515625" style="193" bestFit="1" customWidth="1"/>
    <col min="13809" max="13809" width="15.42578125" style="193" customWidth="1"/>
    <col min="13810" max="13810" width="20.28515625" style="193" bestFit="1" customWidth="1"/>
    <col min="13811" max="13813" width="20.28515625" style="193" customWidth="1"/>
    <col min="13814" max="13814" width="20.28515625" style="193" bestFit="1" customWidth="1"/>
    <col min="13815" max="13815" width="15.42578125" style="193" customWidth="1"/>
    <col min="13816" max="13816" width="20.7109375" style="193" bestFit="1" customWidth="1"/>
    <col min="13817" max="13819" width="20.7109375" style="193" customWidth="1"/>
    <col min="13820" max="13820" width="20.7109375" style="193" bestFit="1" customWidth="1"/>
    <col min="13821" max="13821" width="12.140625" style="193" customWidth="1"/>
    <col min="13822" max="14050" width="8.7109375" style="193" customWidth="1"/>
    <col min="14051" max="14051" width="7.28515625" style="193" customWidth="1"/>
    <col min="14052" max="14052" width="18.28515625" style="193" customWidth="1"/>
    <col min="14053" max="14053" width="23.42578125" style="193" bestFit="1" customWidth="1"/>
    <col min="14054" max="14055" width="10.140625" style="193" bestFit="1" customWidth="1"/>
    <col min="14056" max="14058" width="10.140625" style="193" customWidth="1"/>
    <col min="14059" max="14059" width="16.28515625" style="193" customWidth="1"/>
    <col min="14060" max="14060" width="20.28515625" style="193" bestFit="1" customWidth="1"/>
    <col min="14061" max="14063" width="20.28515625" style="193" customWidth="1"/>
    <col min="14064" max="14064" width="20.28515625" style="193" bestFit="1" customWidth="1"/>
    <col min="14065" max="14065" width="15.42578125" style="193" customWidth="1"/>
    <col min="14066" max="14066" width="20.28515625" style="193" bestFit="1" customWidth="1"/>
    <col min="14067" max="14069" width="20.28515625" style="193" customWidth="1"/>
    <col min="14070" max="14070" width="20.28515625" style="193" bestFit="1" customWidth="1"/>
    <col min="14071" max="14071" width="15.42578125" style="193" customWidth="1"/>
    <col min="14072" max="14072" width="20.7109375" style="193" bestFit="1" customWidth="1"/>
    <col min="14073" max="14075" width="20.7109375" style="193" customWidth="1"/>
    <col min="14076" max="14076" width="20.7109375" style="193" bestFit="1" customWidth="1"/>
    <col min="14077" max="14077" width="12.140625" style="193" customWidth="1"/>
    <col min="14078" max="14306" width="8.7109375" style="193" customWidth="1"/>
    <col min="14307" max="14307" width="7.28515625" style="193" customWidth="1"/>
    <col min="14308" max="14308" width="18.28515625" style="193" customWidth="1"/>
    <col min="14309" max="14309" width="23.42578125" style="193" bestFit="1" customWidth="1"/>
    <col min="14310" max="14311" width="10.140625" style="193" bestFit="1" customWidth="1"/>
    <col min="14312" max="14314" width="10.140625" style="193" customWidth="1"/>
    <col min="14315" max="14315" width="16.28515625" style="193" customWidth="1"/>
    <col min="14316" max="14316" width="20.28515625" style="193" bestFit="1" customWidth="1"/>
    <col min="14317" max="14319" width="20.28515625" style="193" customWidth="1"/>
    <col min="14320" max="14320" width="20.28515625" style="193" bestFit="1" customWidth="1"/>
    <col min="14321" max="14321" width="15.42578125" style="193" customWidth="1"/>
    <col min="14322" max="14322" width="20.28515625" style="193" bestFit="1" customWidth="1"/>
    <col min="14323" max="14325" width="20.28515625" style="193" customWidth="1"/>
    <col min="14326" max="14326" width="20.28515625" style="193" bestFit="1" customWidth="1"/>
    <col min="14327" max="14327" width="15.42578125" style="193" customWidth="1"/>
    <col min="14328" max="14328" width="20.7109375" style="193" bestFit="1" customWidth="1"/>
    <col min="14329" max="14331" width="20.7109375" style="193" customWidth="1"/>
    <col min="14332" max="14332" width="20.7109375" style="193" bestFit="1" customWidth="1"/>
    <col min="14333" max="14333" width="12.140625" style="193" customWidth="1"/>
    <col min="14334" max="14562" width="8.7109375" style="193" customWidth="1"/>
    <col min="14563" max="14563" width="7.28515625" style="193" customWidth="1"/>
    <col min="14564" max="14564" width="18.28515625" style="193" customWidth="1"/>
    <col min="14565" max="14565" width="23.42578125" style="193" bestFit="1" customWidth="1"/>
    <col min="14566" max="14567" width="10.140625" style="193" bestFit="1" customWidth="1"/>
    <col min="14568" max="14570" width="10.140625" style="193" customWidth="1"/>
    <col min="14571" max="14571" width="16.28515625" style="193" customWidth="1"/>
    <col min="14572" max="14572" width="20.28515625" style="193" bestFit="1" customWidth="1"/>
    <col min="14573" max="14575" width="20.28515625" style="193" customWidth="1"/>
    <col min="14576" max="14576" width="20.28515625" style="193" bestFit="1" customWidth="1"/>
    <col min="14577" max="14577" width="15.42578125" style="193" customWidth="1"/>
    <col min="14578" max="14578" width="20.28515625" style="193" bestFit="1" customWidth="1"/>
    <col min="14579" max="14581" width="20.28515625" style="193" customWidth="1"/>
    <col min="14582" max="14582" width="20.28515625" style="193" bestFit="1" customWidth="1"/>
    <col min="14583" max="14583" width="15.42578125" style="193" customWidth="1"/>
    <col min="14584" max="14584" width="20.7109375" style="193" bestFit="1" customWidth="1"/>
    <col min="14585" max="14587" width="20.7109375" style="193" customWidth="1"/>
    <col min="14588" max="14588" width="20.7109375" style="193" bestFit="1" customWidth="1"/>
    <col min="14589" max="14589" width="12.140625" style="193" customWidth="1"/>
    <col min="14590" max="14818" width="8.7109375" style="193" customWidth="1"/>
    <col min="14819" max="14819" width="7.28515625" style="193" customWidth="1"/>
    <col min="14820" max="14820" width="18.28515625" style="193" customWidth="1"/>
    <col min="14821" max="14821" width="23.42578125" style="193" bestFit="1" customWidth="1"/>
    <col min="14822" max="14823" width="10.140625" style="193" bestFit="1" customWidth="1"/>
    <col min="14824" max="14826" width="10.140625" style="193" customWidth="1"/>
    <col min="14827" max="14827" width="16.28515625" style="193" customWidth="1"/>
    <col min="14828" max="14828" width="20.28515625" style="193" bestFit="1" customWidth="1"/>
    <col min="14829" max="14831" width="20.28515625" style="193" customWidth="1"/>
    <col min="14832" max="14832" width="20.28515625" style="193" bestFit="1" customWidth="1"/>
    <col min="14833" max="14833" width="15.42578125" style="193" customWidth="1"/>
    <col min="14834" max="14834" width="20.28515625" style="193" bestFit="1" customWidth="1"/>
    <col min="14835" max="14837" width="20.28515625" style="193" customWidth="1"/>
    <col min="14838" max="14838" width="20.28515625" style="193" bestFit="1" customWidth="1"/>
    <col min="14839" max="14839" width="15.42578125" style="193" customWidth="1"/>
    <col min="14840" max="14840" width="20.7109375" style="193" bestFit="1" customWidth="1"/>
    <col min="14841" max="14843" width="20.7109375" style="193" customWidth="1"/>
    <col min="14844" max="14844" width="20.7109375" style="193" bestFit="1" customWidth="1"/>
    <col min="14845" max="14845" width="12.140625" style="193" customWidth="1"/>
    <col min="14846" max="15074" width="8.7109375" style="193" customWidth="1"/>
    <col min="15075" max="15075" width="7.28515625" style="193" customWidth="1"/>
    <col min="15076" max="15076" width="18.28515625" style="193" customWidth="1"/>
    <col min="15077" max="15077" width="23.42578125" style="193" bestFit="1" customWidth="1"/>
    <col min="15078" max="15079" width="10.140625" style="193" bestFit="1" customWidth="1"/>
    <col min="15080" max="15082" width="10.140625" style="193" customWidth="1"/>
    <col min="15083" max="15083" width="16.28515625" style="193" customWidth="1"/>
    <col min="15084" max="15084" width="20.28515625" style="193" bestFit="1" customWidth="1"/>
    <col min="15085" max="15087" width="20.28515625" style="193" customWidth="1"/>
    <col min="15088" max="15088" width="20.28515625" style="193" bestFit="1" customWidth="1"/>
    <col min="15089" max="15089" width="15.42578125" style="193" customWidth="1"/>
    <col min="15090" max="15090" width="20.28515625" style="193" bestFit="1" customWidth="1"/>
    <col min="15091" max="15093" width="20.28515625" style="193" customWidth="1"/>
    <col min="15094" max="15094" width="20.28515625" style="193" bestFit="1" customWidth="1"/>
    <col min="15095" max="15095" width="15.42578125" style="193" customWidth="1"/>
    <col min="15096" max="15096" width="20.7109375" style="193" bestFit="1" customWidth="1"/>
    <col min="15097" max="15099" width="20.7109375" style="193" customWidth="1"/>
    <col min="15100" max="15100" width="20.7109375" style="193" bestFit="1" customWidth="1"/>
    <col min="15101" max="15101" width="12.140625" style="193" customWidth="1"/>
    <col min="15102" max="15330" width="8.7109375" style="193" customWidth="1"/>
    <col min="15331" max="15331" width="7.28515625" style="193" customWidth="1"/>
    <col min="15332" max="15332" width="18.28515625" style="193" customWidth="1"/>
    <col min="15333" max="15333" width="23.42578125" style="193" bestFit="1" customWidth="1"/>
    <col min="15334" max="15335" width="10.140625" style="193" bestFit="1" customWidth="1"/>
    <col min="15336" max="15338" width="10.140625" style="193" customWidth="1"/>
    <col min="15339" max="15339" width="16.28515625" style="193" customWidth="1"/>
    <col min="15340" max="15340" width="20.28515625" style="193" bestFit="1" customWidth="1"/>
    <col min="15341" max="15343" width="20.28515625" style="193" customWidth="1"/>
    <col min="15344" max="15344" width="20.28515625" style="193" bestFit="1" customWidth="1"/>
    <col min="15345" max="15345" width="15.42578125" style="193" customWidth="1"/>
    <col min="15346" max="15346" width="20.28515625" style="193" bestFit="1" customWidth="1"/>
    <col min="15347" max="15349" width="20.28515625" style="193" customWidth="1"/>
    <col min="15350" max="15350" width="20.28515625" style="193" bestFit="1" customWidth="1"/>
    <col min="15351" max="15351" width="15.42578125" style="193" customWidth="1"/>
    <col min="15352" max="15352" width="20.7109375" style="193" bestFit="1" customWidth="1"/>
    <col min="15353" max="15355" width="20.7109375" style="193" customWidth="1"/>
    <col min="15356" max="15356" width="20.7109375" style="193" bestFit="1" customWidth="1"/>
    <col min="15357" max="15357" width="12.140625" style="193" customWidth="1"/>
    <col min="15358" max="15586" width="8.7109375" style="193" customWidth="1"/>
    <col min="15587" max="15587" width="7.28515625" style="193" customWidth="1"/>
    <col min="15588" max="15588" width="18.28515625" style="193" customWidth="1"/>
    <col min="15589" max="15589" width="23.42578125" style="193" bestFit="1" customWidth="1"/>
    <col min="15590" max="15591" width="10.140625" style="193" bestFit="1" customWidth="1"/>
    <col min="15592" max="15594" width="10.140625" style="193" customWidth="1"/>
    <col min="15595" max="15595" width="16.28515625" style="193" customWidth="1"/>
    <col min="15596" max="15596" width="20.28515625" style="193" bestFit="1" customWidth="1"/>
    <col min="15597" max="15599" width="20.28515625" style="193" customWidth="1"/>
    <col min="15600" max="15600" width="20.28515625" style="193" bestFit="1" customWidth="1"/>
    <col min="15601" max="15601" width="15.42578125" style="193" customWidth="1"/>
    <col min="15602" max="15602" width="20.28515625" style="193" bestFit="1" customWidth="1"/>
    <col min="15603" max="15605" width="20.28515625" style="193" customWidth="1"/>
    <col min="15606" max="15606" width="20.28515625" style="193" bestFit="1" customWidth="1"/>
    <col min="15607" max="15607" width="15.42578125" style="193" customWidth="1"/>
    <col min="15608" max="15608" width="20.7109375" style="193" bestFit="1" customWidth="1"/>
    <col min="15609" max="15611" width="20.7109375" style="193" customWidth="1"/>
    <col min="15612" max="15612" width="20.7109375" style="193" bestFit="1" customWidth="1"/>
    <col min="15613" max="15613" width="12.140625" style="193" customWidth="1"/>
    <col min="15614" max="15842" width="8.7109375" style="193" customWidth="1"/>
    <col min="15843" max="15843" width="7.28515625" style="193" customWidth="1"/>
    <col min="15844" max="15844" width="18.28515625" style="193" customWidth="1"/>
    <col min="15845" max="15845" width="23.42578125" style="193" bestFit="1" customWidth="1"/>
    <col min="15846" max="15847" width="10.140625" style="193" bestFit="1" customWidth="1"/>
    <col min="15848" max="15850" width="10.140625" style="193" customWidth="1"/>
    <col min="15851" max="15851" width="16.28515625" style="193" customWidth="1"/>
    <col min="15852" max="15852" width="20.28515625" style="193" bestFit="1" customWidth="1"/>
    <col min="15853" max="15855" width="20.28515625" style="193" customWidth="1"/>
    <col min="15856" max="15856" width="20.28515625" style="193" bestFit="1" customWidth="1"/>
    <col min="15857" max="15857" width="15.42578125" style="193" customWidth="1"/>
    <col min="15858" max="15858" width="20.28515625" style="193" bestFit="1" customWidth="1"/>
    <col min="15859" max="15861" width="20.28515625" style="193" customWidth="1"/>
    <col min="15862" max="15862" width="20.28515625" style="193" bestFit="1" customWidth="1"/>
    <col min="15863" max="15863" width="15.42578125" style="193" customWidth="1"/>
    <col min="15864" max="15864" width="20.7109375" style="193" bestFit="1" customWidth="1"/>
    <col min="15865" max="15867" width="20.7109375" style="193" customWidth="1"/>
    <col min="15868" max="15868" width="20.7109375" style="193" bestFit="1" customWidth="1"/>
    <col min="15869" max="15869" width="12.140625" style="193" customWidth="1"/>
    <col min="15870" max="16098" width="8.7109375" style="193" customWidth="1"/>
    <col min="16099" max="16099" width="7.28515625" style="193" customWidth="1"/>
    <col min="16100" max="16100" width="18.28515625" style="193" customWidth="1"/>
    <col min="16101" max="16101" width="23.42578125" style="193" bestFit="1" customWidth="1"/>
    <col min="16102" max="16103" width="10.140625" style="193" bestFit="1" customWidth="1"/>
    <col min="16104" max="16106" width="10.140625" style="193" customWidth="1"/>
    <col min="16107" max="16107" width="16.28515625" style="193" customWidth="1"/>
    <col min="16108" max="16108" width="20.28515625" style="193" bestFit="1" customWidth="1"/>
    <col min="16109" max="16111" width="20.28515625" style="193" customWidth="1"/>
    <col min="16112" max="16112" width="20.28515625" style="193" bestFit="1" customWidth="1"/>
    <col min="16113" max="16113" width="15.42578125" style="193" customWidth="1"/>
    <col min="16114" max="16114" width="20.28515625" style="193" bestFit="1" customWidth="1"/>
    <col min="16115" max="16117" width="20.28515625" style="193" customWidth="1"/>
    <col min="16118" max="16118" width="20.28515625" style="193" bestFit="1" customWidth="1"/>
    <col min="16119" max="16119" width="15.42578125" style="193" customWidth="1"/>
    <col min="16120" max="16120" width="20.7109375" style="193" bestFit="1" customWidth="1"/>
    <col min="16121" max="16123" width="20.7109375" style="193" customWidth="1"/>
    <col min="16124" max="16124" width="20.7109375" style="193" bestFit="1" customWidth="1"/>
    <col min="16125" max="16125" width="12.140625" style="193" customWidth="1"/>
    <col min="16126" max="16384" width="8.7109375" style="193" customWidth="1"/>
  </cols>
  <sheetData>
    <row r="1" spans="1:17" s="137" customFormat="1"/>
    <row r="2" spans="1:17" s="137" customFormat="1" ht="15" thickBot="1"/>
    <row r="3" spans="1:17" s="137" customFormat="1" ht="18.75" customHeight="1" thickBot="1">
      <c r="A3" s="325" t="s">
        <v>115</v>
      </c>
      <c r="B3" s="327" t="s">
        <v>314</v>
      </c>
      <c r="C3" s="350" t="s">
        <v>178</v>
      </c>
      <c r="D3" s="351" t="s">
        <v>343</v>
      </c>
      <c r="E3" s="352"/>
      <c r="F3" s="353"/>
      <c r="G3" s="376" t="s">
        <v>344</v>
      </c>
      <c r="H3" s="377"/>
      <c r="I3" s="377"/>
      <c r="J3" s="377"/>
      <c r="K3" s="376" t="s">
        <v>345</v>
      </c>
      <c r="L3" s="377"/>
      <c r="M3" s="378"/>
      <c r="N3" s="331" t="s">
        <v>346</v>
      </c>
      <c r="O3" s="331"/>
      <c r="P3" s="331"/>
      <c r="Q3" s="332"/>
    </row>
    <row r="4" spans="1:17" s="137" customFormat="1" ht="46.5" customHeight="1" thickBot="1">
      <c r="A4" s="326"/>
      <c r="B4" s="328"/>
      <c r="C4" s="354"/>
      <c r="D4" s="367">
        <v>2019</v>
      </c>
      <c r="E4" s="368">
        <v>2020</v>
      </c>
      <c r="F4" s="185">
        <v>2021</v>
      </c>
      <c r="G4" s="360">
        <v>2022</v>
      </c>
      <c r="H4" s="186">
        <v>2023</v>
      </c>
      <c r="I4" s="186">
        <v>2024</v>
      </c>
      <c r="J4" s="185">
        <v>2025</v>
      </c>
      <c r="K4" s="379">
        <v>2019</v>
      </c>
      <c r="L4" s="379">
        <v>2020</v>
      </c>
      <c r="M4" s="379">
        <v>2021</v>
      </c>
      <c r="N4" s="181">
        <v>2022</v>
      </c>
      <c r="O4" s="181">
        <v>2023</v>
      </c>
      <c r="P4" s="181">
        <v>2024</v>
      </c>
      <c r="Q4" s="181">
        <v>2025</v>
      </c>
    </row>
    <row r="5" spans="1:17" s="137" customFormat="1" ht="18">
      <c r="A5" s="177">
        <v>1</v>
      </c>
      <c r="B5" s="178" t="s">
        <v>6</v>
      </c>
      <c r="C5" s="182"/>
      <c r="D5" s="188"/>
      <c r="E5" s="179"/>
      <c r="F5" s="187"/>
      <c r="G5" s="361"/>
      <c r="H5" s="183"/>
      <c r="I5" s="183"/>
      <c r="J5" s="187"/>
      <c r="K5" s="183"/>
      <c r="L5" s="183"/>
      <c r="M5" s="183"/>
      <c r="N5" s="189"/>
      <c r="O5" s="189"/>
      <c r="P5" s="189"/>
      <c r="Q5" s="189"/>
    </row>
    <row r="6" spans="1:17" s="137" customFormat="1" ht="18">
      <c r="A6" s="177">
        <v>2</v>
      </c>
      <c r="B6" s="178" t="s">
        <v>7</v>
      </c>
      <c r="C6" s="182"/>
      <c r="D6" s="188"/>
      <c r="E6" s="179"/>
      <c r="F6" s="187"/>
      <c r="G6" s="361"/>
      <c r="H6" s="183"/>
      <c r="I6" s="183"/>
      <c r="J6" s="187"/>
      <c r="K6" s="183"/>
      <c r="L6" s="183"/>
      <c r="M6" s="183"/>
      <c r="N6" s="189"/>
      <c r="O6" s="189"/>
      <c r="P6" s="189"/>
      <c r="Q6" s="189"/>
    </row>
    <row r="7" spans="1:17" s="137" customFormat="1" ht="18">
      <c r="A7" s="177">
        <v>3</v>
      </c>
      <c r="B7" s="178" t="s">
        <v>8</v>
      </c>
      <c r="C7" s="182"/>
      <c r="D7" s="188"/>
      <c r="E7" s="179"/>
      <c r="F7" s="187"/>
      <c r="G7" s="361"/>
      <c r="H7" s="183"/>
      <c r="I7" s="183"/>
      <c r="J7" s="187"/>
      <c r="K7" s="183"/>
      <c r="L7" s="183"/>
      <c r="M7" s="183"/>
      <c r="N7" s="189"/>
      <c r="O7" s="189"/>
      <c r="P7" s="189"/>
      <c r="Q7" s="189"/>
    </row>
    <row r="8" spans="1:17" s="137" customFormat="1" ht="18">
      <c r="A8" s="177">
        <v>4</v>
      </c>
      <c r="B8" s="178" t="s">
        <v>9</v>
      </c>
      <c r="C8" s="182"/>
      <c r="D8" s="188"/>
      <c r="E8" s="179"/>
      <c r="F8" s="187"/>
      <c r="G8" s="361"/>
      <c r="H8" s="183"/>
      <c r="I8" s="183"/>
      <c r="J8" s="187"/>
      <c r="K8" s="183"/>
      <c r="L8" s="183"/>
      <c r="M8" s="183"/>
      <c r="N8" s="189"/>
      <c r="O8" s="189"/>
      <c r="P8" s="189"/>
      <c r="Q8" s="189"/>
    </row>
    <row r="9" spans="1:17" s="137" customFormat="1" ht="18">
      <c r="A9" s="180">
        <v>5</v>
      </c>
      <c r="B9" s="178" t="s">
        <v>10</v>
      </c>
      <c r="C9" s="182"/>
      <c r="D9" s="188"/>
      <c r="E9" s="179"/>
      <c r="F9" s="187"/>
      <c r="G9" s="361"/>
      <c r="H9" s="183"/>
      <c r="I9" s="183"/>
      <c r="J9" s="187"/>
      <c r="K9" s="183"/>
      <c r="L9" s="183"/>
      <c r="M9" s="183"/>
      <c r="N9" s="189"/>
      <c r="O9" s="189"/>
      <c r="P9" s="189"/>
      <c r="Q9" s="189"/>
    </row>
    <row r="10" spans="1:17" s="137" customFormat="1" ht="18">
      <c r="A10" s="221"/>
      <c r="B10" s="222" t="s">
        <v>118</v>
      </c>
      <c r="C10" s="355"/>
      <c r="D10" s="369"/>
      <c r="E10" s="223"/>
      <c r="F10" s="225"/>
      <c r="G10" s="362"/>
      <c r="H10" s="224"/>
      <c r="I10" s="224"/>
      <c r="J10" s="225"/>
      <c r="K10" s="380"/>
      <c r="L10" s="380"/>
      <c r="M10" s="380"/>
      <c r="N10" s="226"/>
      <c r="O10" s="226"/>
      <c r="P10" s="226"/>
      <c r="Q10" s="226"/>
    </row>
    <row r="11" spans="1:17" s="137" customFormat="1" ht="18">
      <c r="A11" s="159">
        <v>6</v>
      </c>
      <c r="B11" s="166" t="s">
        <v>171</v>
      </c>
      <c r="C11" s="356"/>
      <c r="D11" s="370"/>
      <c r="E11" s="156"/>
      <c r="F11" s="190"/>
      <c r="G11" s="363"/>
      <c r="H11" s="184"/>
      <c r="I11" s="184"/>
      <c r="J11" s="190"/>
      <c r="K11" s="184"/>
      <c r="L11" s="184"/>
      <c r="M11" s="184"/>
      <c r="N11" s="189"/>
      <c r="O11" s="189"/>
      <c r="P11" s="189"/>
      <c r="Q11" s="189"/>
    </row>
    <row r="12" spans="1:17" s="137" customFormat="1" ht="18">
      <c r="A12" s="159">
        <v>7</v>
      </c>
      <c r="B12" s="168" t="s">
        <v>16</v>
      </c>
      <c r="C12" s="356"/>
      <c r="D12" s="370"/>
      <c r="E12" s="156"/>
      <c r="F12" s="190"/>
      <c r="G12" s="363"/>
      <c r="H12" s="184"/>
      <c r="I12" s="184"/>
      <c r="J12" s="190"/>
      <c r="K12" s="184"/>
      <c r="L12" s="184"/>
      <c r="M12" s="184"/>
      <c r="N12" s="189"/>
      <c r="O12" s="189"/>
      <c r="P12" s="189"/>
      <c r="Q12" s="189"/>
    </row>
    <row r="13" spans="1:17" s="137" customFormat="1" ht="18">
      <c r="A13" s="159">
        <v>8</v>
      </c>
      <c r="B13" s="155" t="s">
        <v>12</v>
      </c>
      <c r="C13" s="356"/>
      <c r="D13" s="370"/>
      <c r="E13" s="156"/>
      <c r="F13" s="190"/>
      <c r="G13" s="363"/>
      <c r="H13" s="184"/>
      <c r="I13" s="184"/>
      <c r="J13" s="190"/>
      <c r="K13" s="184"/>
      <c r="L13" s="184"/>
      <c r="M13" s="184"/>
      <c r="N13" s="189"/>
      <c r="O13" s="189"/>
      <c r="P13" s="189"/>
      <c r="Q13" s="189"/>
    </row>
    <row r="14" spans="1:17" s="137" customFormat="1" ht="18">
      <c r="A14" s="227"/>
      <c r="B14" s="228" t="s">
        <v>120</v>
      </c>
      <c r="C14" s="357"/>
      <c r="D14" s="371"/>
      <c r="E14" s="229"/>
      <c r="F14" s="232"/>
      <c r="G14" s="364"/>
      <c r="H14" s="231"/>
      <c r="I14" s="231"/>
      <c r="J14" s="232"/>
      <c r="K14" s="381"/>
      <c r="L14" s="381"/>
      <c r="M14" s="381"/>
      <c r="N14" s="226"/>
      <c r="O14" s="226"/>
      <c r="P14" s="226"/>
      <c r="Q14" s="226"/>
    </row>
    <row r="15" spans="1:17" s="137" customFormat="1" ht="18">
      <c r="A15" s="159">
        <v>9</v>
      </c>
      <c r="B15" s="169" t="s">
        <v>13</v>
      </c>
      <c r="C15" s="356"/>
      <c r="D15" s="370"/>
      <c r="E15" s="156"/>
      <c r="F15" s="190"/>
      <c r="G15" s="363"/>
      <c r="H15" s="184"/>
      <c r="I15" s="184"/>
      <c r="J15" s="190"/>
      <c r="K15" s="184"/>
      <c r="L15" s="184"/>
      <c r="M15" s="184"/>
      <c r="N15" s="189"/>
      <c r="O15" s="189"/>
      <c r="P15" s="189"/>
      <c r="Q15" s="189"/>
    </row>
    <row r="16" spans="1:17" s="137" customFormat="1" ht="18">
      <c r="A16" s="159">
        <v>10</v>
      </c>
      <c r="B16" s="169" t="s">
        <v>14</v>
      </c>
      <c r="C16" s="356"/>
      <c r="D16" s="370"/>
      <c r="E16" s="156"/>
      <c r="F16" s="190"/>
      <c r="G16" s="363"/>
      <c r="H16" s="184"/>
      <c r="I16" s="184"/>
      <c r="J16" s="190"/>
      <c r="K16" s="184"/>
      <c r="L16" s="184"/>
      <c r="M16" s="184"/>
      <c r="N16" s="189"/>
      <c r="O16" s="189"/>
      <c r="P16" s="189"/>
      <c r="Q16" s="189"/>
    </row>
    <row r="17" spans="1:17" s="137" customFormat="1" ht="18">
      <c r="A17" s="234"/>
      <c r="B17" s="235" t="s">
        <v>121</v>
      </c>
      <c r="C17" s="358"/>
      <c r="D17" s="372"/>
      <c r="E17" s="236"/>
      <c r="F17" s="238"/>
      <c r="G17" s="365"/>
      <c r="H17" s="237"/>
      <c r="I17" s="237"/>
      <c r="J17" s="238"/>
      <c r="K17" s="382"/>
      <c r="L17" s="382"/>
      <c r="M17" s="382"/>
      <c r="N17" s="226"/>
      <c r="O17" s="226"/>
      <c r="P17" s="226"/>
      <c r="Q17" s="226"/>
    </row>
    <row r="18" spans="1:17" s="137" customFormat="1" ht="18">
      <c r="A18" s="159">
        <v>11</v>
      </c>
      <c r="B18" s="168" t="s">
        <v>15</v>
      </c>
      <c r="C18" s="356"/>
      <c r="D18" s="370"/>
      <c r="E18" s="156"/>
      <c r="F18" s="190"/>
      <c r="G18" s="363"/>
      <c r="H18" s="184"/>
      <c r="I18" s="184"/>
      <c r="J18" s="190"/>
      <c r="K18" s="184"/>
      <c r="L18" s="184"/>
      <c r="M18" s="184"/>
      <c r="N18" s="189"/>
      <c r="O18" s="189"/>
      <c r="P18" s="189"/>
      <c r="Q18" s="189"/>
    </row>
    <row r="19" spans="1:17" s="137" customFormat="1" ht="18">
      <c r="A19" s="159">
        <v>12</v>
      </c>
      <c r="B19" s="168" t="s">
        <v>17</v>
      </c>
      <c r="C19" s="356"/>
      <c r="D19" s="370"/>
      <c r="E19" s="156"/>
      <c r="F19" s="190"/>
      <c r="G19" s="363"/>
      <c r="H19" s="184"/>
      <c r="I19" s="184"/>
      <c r="J19" s="190"/>
      <c r="K19" s="184"/>
      <c r="L19" s="184"/>
      <c r="M19" s="184"/>
      <c r="N19" s="189"/>
      <c r="O19" s="189"/>
      <c r="P19" s="189"/>
      <c r="Q19" s="189"/>
    </row>
    <row r="20" spans="1:17" s="137" customFormat="1" ht="18">
      <c r="A20" s="227"/>
      <c r="B20" s="230" t="s">
        <v>122</v>
      </c>
      <c r="C20" s="357"/>
      <c r="D20" s="371"/>
      <c r="E20" s="229"/>
      <c r="F20" s="232"/>
      <c r="G20" s="364"/>
      <c r="H20" s="231"/>
      <c r="I20" s="231"/>
      <c r="J20" s="232"/>
      <c r="K20" s="381"/>
      <c r="L20" s="381"/>
      <c r="M20" s="381"/>
      <c r="N20" s="226"/>
      <c r="O20" s="226"/>
      <c r="P20" s="226"/>
      <c r="Q20" s="226"/>
    </row>
    <row r="21" spans="1:17" s="137" customFormat="1" ht="18">
      <c r="A21" s="159">
        <v>13</v>
      </c>
      <c r="B21" s="174" t="s">
        <v>18</v>
      </c>
      <c r="C21" s="356"/>
      <c r="D21" s="370"/>
      <c r="E21" s="156"/>
      <c r="F21" s="190"/>
      <c r="G21" s="363"/>
      <c r="H21" s="184"/>
      <c r="I21" s="184"/>
      <c r="J21" s="190"/>
      <c r="K21" s="184"/>
      <c r="L21" s="184"/>
      <c r="M21" s="184"/>
      <c r="N21" s="189"/>
      <c r="O21" s="189"/>
      <c r="P21" s="189"/>
      <c r="Q21" s="189"/>
    </row>
    <row r="22" spans="1:17" s="137" customFormat="1" ht="18">
      <c r="A22" s="159">
        <f>+A21+1</f>
        <v>14</v>
      </c>
      <c r="B22" s="168" t="s">
        <v>19</v>
      </c>
      <c r="C22" s="356"/>
      <c r="D22" s="370"/>
      <c r="E22" s="156"/>
      <c r="F22" s="190"/>
      <c r="G22" s="363"/>
      <c r="H22" s="184"/>
      <c r="I22" s="184"/>
      <c r="J22" s="190"/>
      <c r="K22" s="184"/>
      <c r="L22" s="184"/>
      <c r="M22" s="184"/>
      <c r="N22" s="189"/>
      <c r="O22" s="189"/>
      <c r="P22" s="189"/>
      <c r="Q22" s="189"/>
    </row>
    <row r="23" spans="1:17" s="137" customFormat="1" ht="18">
      <c r="A23" s="159">
        <f>+A22+1</f>
        <v>15</v>
      </c>
      <c r="B23" s="168" t="s">
        <v>20</v>
      </c>
      <c r="C23" s="356"/>
      <c r="D23" s="370"/>
      <c r="E23" s="156"/>
      <c r="F23" s="190"/>
      <c r="G23" s="363"/>
      <c r="H23" s="184"/>
      <c r="I23" s="184"/>
      <c r="J23" s="190"/>
      <c r="K23" s="184"/>
      <c r="L23" s="184"/>
      <c r="M23" s="184"/>
      <c r="N23" s="189"/>
      <c r="O23" s="189"/>
      <c r="P23" s="189"/>
      <c r="Q23" s="189"/>
    </row>
    <row r="24" spans="1:17" s="137" customFormat="1" ht="18">
      <c r="A24" s="227"/>
      <c r="B24" s="230" t="s">
        <v>123</v>
      </c>
      <c r="C24" s="359"/>
      <c r="D24" s="373"/>
      <c r="E24" s="233"/>
      <c r="F24" s="232"/>
      <c r="G24" s="364"/>
      <c r="H24" s="231"/>
      <c r="I24" s="231"/>
      <c r="J24" s="232"/>
      <c r="K24" s="381"/>
      <c r="L24" s="381"/>
      <c r="M24" s="381"/>
      <c r="N24" s="226"/>
      <c r="O24" s="226"/>
      <c r="P24" s="226"/>
      <c r="Q24" s="226"/>
    </row>
    <row r="25" spans="1:17" s="137" customFormat="1" ht="18">
      <c r="A25" s="159">
        <f>A23+1</f>
        <v>16</v>
      </c>
      <c r="B25" s="174" t="s">
        <v>23</v>
      </c>
      <c r="C25" s="356"/>
      <c r="D25" s="370"/>
      <c r="E25" s="156"/>
      <c r="F25" s="190"/>
      <c r="G25" s="363"/>
      <c r="H25" s="184"/>
      <c r="I25" s="184"/>
      <c r="J25" s="190"/>
      <c r="K25" s="184"/>
      <c r="L25" s="184"/>
      <c r="M25" s="184"/>
      <c r="N25" s="189"/>
      <c r="O25" s="189"/>
      <c r="P25" s="189"/>
      <c r="Q25" s="189"/>
    </row>
    <row r="26" spans="1:17" s="137" customFormat="1" ht="18">
      <c r="A26" s="159">
        <f>A25+1</f>
        <v>17</v>
      </c>
      <c r="B26" s="168" t="s">
        <v>172</v>
      </c>
      <c r="C26" s="356"/>
      <c r="D26" s="370"/>
      <c r="E26" s="156"/>
      <c r="F26" s="190"/>
      <c r="G26" s="363"/>
      <c r="H26" s="184"/>
      <c r="I26" s="184"/>
      <c r="J26" s="190"/>
      <c r="K26" s="184"/>
      <c r="L26" s="184"/>
      <c r="M26" s="184"/>
      <c r="N26" s="189"/>
      <c r="O26" s="189"/>
      <c r="P26" s="189"/>
      <c r="Q26" s="189"/>
    </row>
    <row r="27" spans="1:17" s="137" customFormat="1" ht="18">
      <c r="A27" s="159">
        <f t="shared" ref="A27:A38" si="0">A26+1</f>
        <v>18</v>
      </c>
      <c r="B27" s="168" t="s">
        <v>25</v>
      </c>
      <c r="C27" s="356"/>
      <c r="D27" s="370"/>
      <c r="E27" s="156"/>
      <c r="F27" s="190"/>
      <c r="G27" s="363"/>
      <c r="H27" s="184"/>
      <c r="I27" s="184"/>
      <c r="J27" s="190"/>
      <c r="K27" s="184"/>
      <c r="L27" s="184"/>
      <c r="M27" s="184"/>
      <c r="N27" s="189"/>
      <c r="O27" s="189"/>
      <c r="P27" s="189"/>
      <c r="Q27" s="189"/>
    </row>
    <row r="28" spans="1:17" s="137" customFormat="1" ht="18">
      <c r="A28" s="159">
        <f t="shared" si="0"/>
        <v>19</v>
      </c>
      <c r="B28" s="168" t="s">
        <v>125</v>
      </c>
      <c r="C28" s="356"/>
      <c r="D28" s="370"/>
      <c r="E28" s="156"/>
      <c r="F28" s="190"/>
      <c r="G28" s="363"/>
      <c r="H28" s="184"/>
      <c r="I28" s="184"/>
      <c r="J28" s="190"/>
      <c r="K28" s="184"/>
      <c r="L28" s="184"/>
      <c r="M28" s="184"/>
      <c r="N28" s="189"/>
      <c r="O28" s="189"/>
      <c r="P28" s="189"/>
      <c r="Q28" s="189"/>
    </row>
    <row r="29" spans="1:17" s="137" customFormat="1" ht="18">
      <c r="A29" s="159">
        <f t="shared" si="0"/>
        <v>20</v>
      </c>
      <c r="B29" s="168" t="s">
        <v>26</v>
      </c>
      <c r="C29" s="356"/>
      <c r="D29" s="370"/>
      <c r="E29" s="156"/>
      <c r="F29" s="190"/>
      <c r="G29" s="363"/>
      <c r="H29" s="184"/>
      <c r="I29" s="184"/>
      <c r="J29" s="190"/>
      <c r="K29" s="184"/>
      <c r="L29" s="184"/>
      <c r="M29" s="184"/>
      <c r="N29" s="189"/>
      <c r="O29" s="189"/>
      <c r="P29" s="189"/>
      <c r="Q29" s="189"/>
    </row>
    <row r="30" spans="1:17" s="137" customFormat="1" ht="18">
      <c r="A30" s="159">
        <f t="shared" si="0"/>
        <v>21</v>
      </c>
      <c r="B30" s="168" t="s">
        <v>27</v>
      </c>
      <c r="C30" s="356"/>
      <c r="D30" s="370"/>
      <c r="E30" s="156"/>
      <c r="F30" s="190"/>
      <c r="G30" s="363"/>
      <c r="H30" s="184"/>
      <c r="I30" s="184"/>
      <c r="J30" s="190"/>
      <c r="K30" s="184"/>
      <c r="L30" s="184"/>
      <c r="M30" s="184"/>
      <c r="N30" s="189"/>
      <c r="O30" s="189"/>
      <c r="P30" s="189"/>
      <c r="Q30" s="189"/>
    </row>
    <row r="31" spans="1:17" s="137" customFormat="1" ht="18">
      <c r="A31" s="159">
        <f t="shared" si="0"/>
        <v>22</v>
      </c>
      <c r="B31" s="174" t="s">
        <v>28</v>
      </c>
      <c r="C31" s="356"/>
      <c r="D31" s="370"/>
      <c r="E31" s="156"/>
      <c r="F31" s="190"/>
      <c r="G31" s="363"/>
      <c r="H31" s="184"/>
      <c r="I31" s="184"/>
      <c r="J31" s="190"/>
      <c r="K31" s="184"/>
      <c r="L31" s="184"/>
      <c r="M31" s="184"/>
      <c r="N31" s="189"/>
      <c r="O31" s="189"/>
      <c r="P31" s="189"/>
      <c r="Q31" s="189"/>
    </row>
    <row r="32" spans="1:17" s="137" customFormat="1" ht="18">
      <c r="A32" s="159">
        <f t="shared" si="0"/>
        <v>23</v>
      </c>
      <c r="B32" s="174" t="s">
        <v>29</v>
      </c>
      <c r="C32" s="356"/>
      <c r="D32" s="370"/>
      <c r="E32" s="156"/>
      <c r="F32" s="190"/>
      <c r="G32" s="363"/>
      <c r="H32" s="184"/>
      <c r="I32" s="184"/>
      <c r="J32" s="190"/>
      <c r="K32" s="184"/>
      <c r="L32" s="184"/>
      <c r="M32" s="184"/>
      <c r="N32" s="189"/>
      <c r="O32" s="189"/>
      <c r="P32" s="189"/>
      <c r="Q32" s="189"/>
    </row>
    <row r="33" spans="1:17" s="137" customFormat="1" ht="18">
      <c r="A33" s="159">
        <f t="shared" si="0"/>
        <v>24</v>
      </c>
      <c r="B33" s="168" t="s">
        <v>30</v>
      </c>
      <c r="C33" s="356"/>
      <c r="D33" s="370"/>
      <c r="E33" s="156"/>
      <c r="F33" s="190"/>
      <c r="G33" s="363"/>
      <c r="H33" s="184"/>
      <c r="I33" s="184"/>
      <c r="J33" s="190"/>
      <c r="K33" s="184"/>
      <c r="L33" s="184"/>
      <c r="M33" s="184"/>
      <c r="N33" s="189"/>
      <c r="O33" s="189"/>
      <c r="P33" s="189"/>
      <c r="Q33" s="189"/>
    </row>
    <row r="34" spans="1:17" s="137" customFormat="1" ht="18">
      <c r="A34" s="159">
        <f t="shared" si="0"/>
        <v>25</v>
      </c>
      <c r="B34" s="168" t="s">
        <v>97</v>
      </c>
      <c r="C34" s="356"/>
      <c r="D34" s="370"/>
      <c r="E34" s="156"/>
      <c r="F34" s="190"/>
      <c r="G34" s="363"/>
      <c r="H34" s="184"/>
      <c r="I34" s="184"/>
      <c r="J34" s="190"/>
      <c r="K34" s="184"/>
      <c r="L34" s="184"/>
      <c r="M34" s="184"/>
      <c r="N34" s="189"/>
      <c r="O34" s="189"/>
      <c r="P34" s="189"/>
      <c r="Q34" s="189"/>
    </row>
    <row r="35" spans="1:17" s="137" customFormat="1" ht="18">
      <c r="A35" s="159">
        <f t="shared" si="0"/>
        <v>26</v>
      </c>
      <c r="B35" s="168" t="s">
        <v>126</v>
      </c>
      <c r="C35" s="356"/>
      <c r="D35" s="370"/>
      <c r="E35" s="156"/>
      <c r="F35" s="190"/>
      <c r="G35" s="363"/>
      <c r="H35" s="184"/>
      <c r="I35" s="184"/>
      <c r="J35" s="190"/>
      <c r="K35" s="184"/>
      <c r="L35" s="184"/>
      <c r="M35" s="184"/>
      <c r="N35" s="189"/>
      <c r="O35" s="189"/>
      <c r="P35" s="189"/>
      <c r="Q35" s="189"/>
    </row>
    <row r="36" spans="1:17" s="137" customFormat="1" ht="18">
      <c r="A36" s="159">
        <f t="shared" si="0"/>
        <v>27</v>
      </c>
      <c r="B36" s="168" t="s">
        <v>127</v>
      </c>
      <c r="C36" s="356"/>
      <c r="D36" s="370"/>
      <c r="E36" s="156"/>
      <c r="F36" s="190"/>
      <c r="G36" s="363"/>
      <c r="H36" s="184"/>
      <c r="I36" s="184"/>
      <c r="J36" s="190"/>
      <c r="K36" s="184"/>
      <c r="L36" s="184"/>
      <c r="M36" s="184"/>
      <c r="N36" s="189"/>
      <c r="O36" s="189"/>
      <c r="P36" s="189"/>
      <c r="Q36" s="189"/>
    </row>
    <row r="37" spans="1:17" s="137" customFormat="1" ht="18">
      <c r="A37" s="159">
        <f t="shared" si="0"/>
        <v>28</v>
      </c>
      <c r="B37" s="168" t="s">
        <v>21</v>
      </c>
      <c r="C37" s="356"/>
      <c r="D37" s="370"/>
      <c r="E37" s="156"/>
      <c r="F37" s="190"/>
      <c r="G37" s="363"/>
      <c r="H37" s="184"/>
      <c r="I37" s="184"/>
      <c r="J37" s="190"/>
      <c r="K37" s="184"/>
      <c r="L37" s="184"/>
      <c r="M37" s="184"/>
      <c r="N37" s="189"/>
      <c r="O37" s="189"/>
      <c r="P37" s="189"/>
      <c r="Q37" s="189"/>
    </row>
    <row r="38" spans="1:17" s="137" customFormat="1" ht="20.25" customHeight="1">
      <c r="A38" s="159">
        <f t="shared" si="0"/>
        <v>29</v>
      </c>
      <c r="B38" s="168" t="s">
        <v>128</v>
      </c>
      <c r="C38" s="356"/>
      <c r="D38" s="370"/>
      <c r="E38" s="156"/>
      <c r="F38" s="190"/>
      <c r="G38" s="363"/>
      <c r="H38" s="184"/>
      <c r="I38" s="184"/>
      <c r="J38" s="190"/>
      <c r="K38" s="184"/>
      <c r="L38" s="184"/>
      <c r="M38" s="184"/>
      <c r="N38" s="189"/>
      <c r="O38" s="189"/>
      <c r="P38" s="189"/>
      <c r="Q38" s="189"/>
    </row>
    <row r="39" spans="1:17" s="191" customFormat="1" ht="15" customHeight="1" thickBot="1">
      <c r="A39" s="323" t="s">
        <v>5</v>
      </c>
      <c r="B39" s="324"/>
      <c r="C39" s="324"/>
      <c r="D39" s="374"/>
      <c r="E39" s="375"/>
      <c r="F39" s="240"/>
      <c r="G39" s="366"/>
      <c r="H39" s="239"/>
      <c r="I39" s="239"/>
      <c r="J39" s="240"/>
      <c r="K39" s="383"/>
      <c r="L39" s="383"/>
      <c r="M39" s="383"/>
      <c r="N39" s="226"/>
      <c r="O39" s="226"/>
      <c r="P39" s="226"/>
      <c r="Q39" s="226"/>
    </row>
    <row r="40" spans="1:17" s="176" customFormat="1" ht="15.75" thickBot="1"/>
    <row r="41" spans="1:17" s="137" customFormat="1" ht="13.9" customHeight="1" thickBot="1">
      <c r="A41" s="325" t="s">
        <v>115</v>
      </c>
      <c r="B41" s="327" t="s">
        <v>116</v>
      </c>
      <c r="C41" s="329" t="s">
        <v>178</v>
      </c>
      <c r="D41" s="351" t="s">
        <v>343</v>
      </c>
      <c r="E41" s="352"/>
      <c r="F41" s="353"/>
      <c r="G41" s="376" t="s">
        <v>344</v>
      </c>
      <c r="H41" s="377"/>
      <c r="I41" s="377"/>
      <c r="J41" s="377"/>
      <c r="K41" s="376" t="s">
        <v>345</v>
      </c>
      <c r="L41" s="377"/>
      <c r="M41" s="378"/>
      <c r="N41" s="331" t="s">
        <v>346</v>
      </c>
      <c r="O41" s="331"/>
      <c r="P41" s="331"/>
      <c r="Q41" s="332"/>
    </row>
    <row r="42" spans="1:17" s="137" customFormat="1" ht="18.75" thickBot="1">
      <c r="A42" s="326"/>
      <c r="B42" s="328"/>
      <c r="C42" s="330"/>
      <c r="D42" s="367">
        <v>2019</v>
      </c>
      <c r="E42" s="368">
        <v>2020</v>
      </c>
      <c r="F42" s="185">
        <v>2021</v>
      </c>
      <c r="G42" s="360">
        <v>2022</v>
      </c>
      <c r="H42" s="186">
        <v>2023</v>
      </c>
      <c r="I42" s="186">
        <v>2024</v>
      </c>
      <c r="J42" s="185">
        <v>2025</v>
      </c>
      <c r="K42" s="379">
        <v>2019</v>
      </c>
      <c r="L42" s="379">
        <v>2020</v>
      </c>
      <c r="M42" s="379">
        <v>2021</v>
      </c>
      <c r="N42" s="181">
        <v>2022</v>
      </c>
      <c r="O42" s="181">
        <v>2023</v>
      </c>
      <c r="P42" s="181">
        <v>2024</v>
      </c>
      <c r="Q42" s="181">
        <v>2025</v>
      </c>
    </row>
    <row r="43" spans="1:17" s="137" customFormat="1">
      <c r="A43" s="144">
        <v>30</v>
      </c>
      <c r="B43" s="145" t="s">
        <v>163</v>
      </c>
      <c r="C43" s="146"/>
      <c r="D43" s="146"/>
      <c r="E43" s="146"/>
      <c r="F43" s="146"/>
      <c r="G43" s="146"/>
      <c r="H43" s="146"/>
      <c r="I43" s="146"/>
      <c r="J43" s="146"/>
      <c r="K43" s="146"/>
      <c r="L43" s="146"/>
      <c r="M43" s="146"/>
      <c r="N43" s="192"/>
      <c r="O43" s="192"/>
      <c r="P43" s="192"/>
      <c r="Q43" s="192"/>
    </row>
    <row r="44" spans="1:17" s="137" customFormat="1">
      <c r="A44" s="144">
        <v>31</v>
      </c>
      <c r="B44" s="145" t="s">
        <v>164</v>
      </c>
      <c r="C44" s="146"/>
      <c r="D44" s="146"/>
      <c r="E44" s="146"/>
      <c r="F44" s="146"/>
      <c r="G44" s="146"/>
      <c r="H44" s="146"/>
      <c r="I44" s="146"/>
      <c r="J44" s="146"/>
      <c r="K44" s="146"/>
      <c r="L44" s="146"/>
      <c r="M44" s="146"/>
      <c r="N44" s="192"/>
      <c r="O44" s="192"/>
      <c r="P44" s="192"/>
      <c r="Q44" s="192"/>
    </row>
    <row r="45" spans="1:17" s="137" customFormat="1">
      <c r="A45" s="144">
        <v>32</v>
      </c>
      <c r="B45" s="145" t="s">
        <v>165</v>
      </c>
      <c r="C45" s="146"/>
      <c r="D45" s="146"/>
      <c r="E45" s="146"/>
      <c r="F45" s="146"/>
      <c r="G45" s="146"/>
      <c r="H45" s="146"/>
      <c r="I45" s="146"/>
      <c r="J45" s="146"/>
      <c r="K45" s="146"/>
      <c r="L45" s="146"/>
      <c r="M45" s="146"/>
      <c r="N45" s="192"/>
      <c r="O45" s="192"/>
      <c r="P45" s="192"/>
      <c r="Q45" s="192"/>
    </row>
    <row r="46" spans="1:17" s="137" customFormat="1">
      <c r="A46" s="144">
        <v>33</v>
      </c>
      <c r="B46" s="145" t="s">
        <v>149</v>
      </c>
      <c r="C46" s="153"/>
      <c r="D46" s="153"/>
      <c r="E46" s="153"/>
      <c r="F46" s="146"/>
      <c r="G46" s="146"/>
      <c r="H46" s="146"/>
      <c r="I46" s="146"/>
      <c r="J46" s="146"/>
      <c r="K46" s="146"/>
      <c r="L46" s="146"/>
      <c r="M46" s="146"/>
      <c r="N46" s="192"/>
      <c r="O46" s="192"/>
      <c r="P46" s="192"/>
      <c r="Q46" s="192"/>
    </row>
    <row r="47" spans="1:17" s="137" customFormat="1">
      <c r="A47" s="144">
        <v>34</v>
      </c>
      <c r="B47" s="147" t="s">
        <v>150</v>
      </c>
      <c r="C47" s="146"/>
      <c r="D47" s="146"/>
      <c r="E47" s="146"/>
      <c r="F47" s="146"/>
      <c r="G47" s="146"/>
      <c r="H47" s="146"/>
      <c r="I47" s="146"/>
      <c r="J47" s="146"/>
      <c r="K47" s="146"/>
      <c r="L47" s="146"/>
      <c r="M47" s="146"/>
      <c r="N47" s="192"/>
      <c r="O47" s="192"/>
      <c r="P47" s="192"/>
      <c r="Q47" s="192"/>
    </row>
    <row r="48" spans="1:17" s="191" customFormat="1" ht="15.75" thickBot="1">
      <c r="A48" s="320" t="s">
        <v>5</v>
      </c>
      <c r="B48" s="321"/>
      <c r="C48" s="322"/>
      <c r="D48" s="349"/>
      <c r="E48" s="349"/>
      <c r="F48" s="241"/>
      <c r="G48" s="241"/>
      <c r="H48" s="241"/>
      <c r="I48" s="241"/>
      <c r="J48" s="241"/>
      <c r="K48" s="384"/>
      <c r="L48" s="384"/>
      <c r="M48" s="384"/>
      <c r="N48" s="242"/>
      <c r="O48" s="242"/>
      <c r="P48" s="242"/>
      <c r="Q48" s="242"/>
    </row>
  </sheetData>
  <mergeCells count="16">
    <mergeCell ref="D3:F3"/>
    <mergeCell ref="G3:J3"/>
    <mergeCell ref="K3:M3"/>
    <mergeCell ref="N3:Q3"/>
    <mergeCell ref="D41:F41"/>
    <mergeCell ref="G41:J41"/>
    <mergeCell ref="A48:C48"/>
    <mergeCell ref="A39:C39"/>
    <mergeCell ref="A3:A4"/>
    <mergeCell ref="B3:B4"/>
    <mergeCell ref="C3:C4"/>
    <mergeCell ref="K41:M41"/>
    <mergeCell ref="N41:Q41"/>
    <mergeCell ref="A41:A42"/>
    <mergeCell ref="B41:B42"/>
    <mergeCell ref="C41:C42"/>
  </mergeCells>
  <phoneticPr fontId="42" type="noConversion"/>
  <pageMargins left="0.7" right="0.7" top="0.75" bottom="0.75" header="0.3" footer="0.3"/>
  <pageSetup orientation="portrait" horizontalDpi="4294967295" verticalDpi="4294967295" copies="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4"/>
  <sheetViews>
    <sheetView workbookViewId="0">
      <pane xSplit="2" ySplit="4" topLeftCell="M5" activePane="bottomRight" state="frozen"/>
      <selection pane="topRight" activeCell="C1" sqref="C1"/>
      <selection pane="bottomLeft" activeCell="A5" sqref="A5"/>
      <selection pane="bottomRight" activeCell="N3" sqref="N3:Q4"/>
    </sheetView>
  </sheetViews>
  <sheetFormatPr defaultColWidth="11.5703125" defaultRowHeight="12.75"/>
  <cols>
    <col min="1" max="1" width="7.28515625" style="220" customWidth="1"/>
    <col min="2" max="2" width="37" style="220" bestFit="1" customWidth="1"/>
    <col min="3" max="3" width="23.5703125" style="220" customWidth="1"/>
    <col min="4" max="8" width="21.85546875" style="220" customWidth="1"/>
    <col min="9" max="17" width="26.7109375" style="220" customWidth="1"/>
    <col min="18" max="191" width="8.7109375" style="220" customWidth="1"/>
    <col min="192" max="192" width="7.28515625" style="220" customWidth="1"/>
    <col min="193" max="193" width="18.28515625" style="220" customWidth="1"/>
    <col min="194" max="194" width="23.42578125" style="220" bestFit="1" customWidth="1"/>
    <col min="195" max="196" width="10.140625" style="220" bestFit="1" customWidth="1"/>
    <col min="197" max="199" width="10.140625" style="220" customWidth="1"/>
    <col min="200" max="200" width="16.28515625" style="220" customWidth="1"/>
    <col min="201" max="201" width="20.28515625" style="220" bestFit="1" customWidth="1"/>
    <col min="202" max="204" width="20.28515625" style="220" customWidth="1"/>
    <col min="205" max="205" width="20.28515625" style="220" bestFit="1" customWidth="1"/>
    <col min="206" max="206" width="15.42578125" style="220" customWidth="1"/>
    <col min="207" max="207" width="20.28515625" style="220" bestFit="1" customWidth="1"/>
    <col min="208" max="210" width="20.28515625" style="220" customWidth="1"/>
    <col min="211" max="211" width="20.28515625" style="220" bestFit="1" customWidth="1"/>
    <col min="212" max="212" width="15.42578125" style="220" customWidth="1"/>
    <col min="213" max="213" width="20.7109375" style="220" bestFit="1" customWidth="1"/>
    <col min="214" max="216" width="20.7109375" style="220" customWidth="1"/>
    <col min="217" max="217" width="20.7109375" style="220" bestFit="1" customWidth="1"/>
    <col min="218" max="218" width="12.140625" style="220" customWidth="1"/>
    <col min="219" max="447" width="8.7109375" style="220" customWidth="1"/>
    <col min="448" max="448" width="7.28515625" style="220" customWidth="1"/>
    <col min="449" max="449" width="18.28515625" style="220" customWidth="1"/>
    <col min="450" max="450" width="23.42578125" style="220" bestFit="1" customWidth="1"/>
    <col min="451" max="452" width="10.140625" style="220" bestFit="1" customWidth="1"/>
    <col min="453" max="455" width="10.140625" style="220" customWidth="1"/>
    <col min="456" max="456" width="16.28515625" style="220" customWidth="1"/>
    <col min="457" max="457" width="20.28515625" style="220" bestFit="1" customWidth="1"/>
    <col min="458" max="460" width="20.28515625" style="220" customWidth="1"/>
    <col min="461" max="461" width="20.28515625" style="220" bestFit="1" customWidth="1"/>
    <col min="462" max="462" width="15.42578125" style="220" customWidth="1"/>
    <col min="463" max="463" width="20.28515625" style="220" bestFit="1" customWidth="1"/>
    <col min="464" max="466" width="20.28515625" style="220" customWidth="1"/>
    <col min="467" max="467" width="20.28515625" style="220" bestFit="1" customWidth="1"/>
    <col min="468" max="468" width="15.42578125" style="220" customWidth="1"/>
    <col min="469" max="469" width="20.7109375" style="220" bestFit="1" customWidth="1"/>
    <col min="470" max="472" width="20.7109375" style="220" customWidth="1"/>
    <col min="473" max="473" width="20.7109375" style="220" bestFit="1" customWidth="1"/>
    <col min="474" max="474" width="12.140625" style="220" customWidth="1"/>
    <col min="475" max="703" width="8.7109375" style="220" customWidth="1"/>
    <col min="704" max="704" width="7.28515625" style="220" customWidth="1"/>
    <col min="705" max="705" width="18.28515625" style="220" customWidth="1"/>
    <col min="706" max="706" width="23.42578125" style="220" bestFit="1" customWidth="1"/>
    <col min="707" max="708" width="10.140625" style="220" bestFit="1" customWidth="1"/>
    <col min="709" max="711" width="10.140625" style="220" customWidth="1"/>
    <col min="712" max="712" width="16.28515625" style="220" customWidth="1"/>
    <col min="713" max="713" width="20.28515625" style="220" bestFit="1" customWidth="1"/>
    <col min="714" max="716" width="20.28515625" style="220" customWidth="1"/>
    <col min="717" max="717" width="20.28515625" style="220" bestFit="1" customWidth="1"/>
    <col min="718" max="718" width="15.42578125" style="220" customWidth="1"/>
    <col min="719" max="719" width="20.28515625" style="220" bestFit="1" customWidth="1"/>
    <col min="720" max="722" width="20.28515625" style="220" customWidth="1"/>
    <col min="723" max="723" width="20.28515625" style="220" bestFit="1" customWidth="1"/>
    <col min="724" max="724" width="15.42578125" style="220" customWidth="1"/>
    <col min="725" max="725" width="20.7109375" style="220" bestFit="1" customWidth="1"/>
    <col min="726" max="728" width="20.7109375" style="220" customWidth="1"/>
    <col min="729" max="729" width="20.7109375" style="220" bestFit="1" customWidth="1"/>
    <col min="730" max="730" width="12.140625" style="220" customWidth="1"/>
    <col min="731" max="959" width="8.7109375" style="220" customWidth="1"/>
    <col min="960" max="960" width="7.28515625" style="220" customWidth="1"/>
    <col min="961" max="961" width="18.28515625" style="220" customWidth="1"/>
    <col min="962" max="962" width="23.42578125" style="220" bestFit="1" customWidth="1"/>
    <col min="963" max="964" width="10.140625" style="220" bestFit="1" customWidth="1"/>
    <col min="965" max="967" width="10.140625" style="220" customWidth="1"/>
    <col min="968" max="968" width="16.28515625" style="220" customWidth="1"/>
    <col min="969" max="969" width="20.28515625" style="220" bestFit="1" customWidth="1"/>
    <col min="970" max="972" width="20.28515625" style="220" customWidth="1"/>
    <col min="973" max="973" width="20.28515625" style="220" bestFit="1" customWidth="1"/>
    <col min="974" max="974" width="15.42578125" style="220" customWidth="1"/>
    <col min="975" max="975" width="20.28515625" style="220" bestFit="1" customWidth="1"/>
    <col min="976" max="978" width="20.28515625" style="220" customWidth="1"/>
    <col min="979" max="979" width="20.28515625" style="220" bestFit="1" customWidth="1"/>
    <col min="980" max="980" width="15.42578125" style="220" customWidth="1"/>
    <col min="981" max="981" width="20.7109375" style="220" bestFit="1" customWidth="1"/>
    <col min="982" max="984" width="20.7109375" style="220" customWidth="1"/>
    <col min="985" max="985" width="20.7109375" style="220" bestFit="1" customWidth="1"/>
    <col min="986" max="986" width="12.140625" style="220" customWidth="1"/>
    <col min="987" max="1215" width="8.7109375" style="220" customWidth="1"/>
    <col min="1216" max="1216" width="7.28515625" style="220" customWidth="1"/>
    <col min="1217" max="1217" width="18.28515625" style="220" customWidth="1"/>
    <col min="1218" max="1218" width="23.42578125" style="220" bestFit="1" customWidth="1"/>
    <col min="1219" max="1220" width="10.140625" style="220" bestFit="1" customWidth="1"/>
    <col min="1221" max="1223" width="10.140625" style="220" customWidth="1"/>
    <col min="1224" max="1224" width="16.28515625" style="220" customWidth="1"/>
    <col min="1225" max="1225" width="20.28515625" style="220" bestFit="1" customWidth="1"/>
    <col min="1226" max="1228" width="20.28515625" style="220" customWidth="1"/>
    <col min="1229" max="1229" width="20.28515625" style="220" bestFit="1" customWidth="1"/>
    <col min="1230" max="1230" width="15.42578125" style="220" customWidth="1"/>
    <col min="1231" max="1231" width="20.28515625" style="220" bestFit="1" customWidth="1"/>
    <col min="1232" max="1234" width="20.28515625" style="220" customWidth="1"/>
    <col min="1235" max="1235" width="20.28515625" style="220" bestFit="1" customWidth="1"/>
    <col min="1236" max="1236" width="15.42578125" style="220" customWidth="1"/>
    <col min="1237" max="1237" width="20.7109375" style="220" bestFit="1" customWidth="1"/>
    <col min="1238" max="1240" width="20.7109375" style="220" customWidth="1"/>
    <col min="1241" max="1241" width="20.7109375" style="220" bestFit="1" customWidth="1"/>
    <col min="1242" max="1242" width="12.140625" style="220" customWidth="1"/>
    <col min="1243" max="1471" width="8.7109375" style="220" customWidth="1"/>
    <col min="1472" max="1472" width="7.28515625" style="220" customWidth="1"/>
    <col min="1473" max="1473" width="18.28515625" style="220" customWidth="1"/>
    <col min="1474" max="1474" width="23.42578125" style="220" bestFit="1" customWidth="1"/>
    <col min="1475" max="1476" width="10.140625" style="220" bestFit="1" customWidth="1"/>
    <col min="1477" max="1479" width="10.140625" style="220" customWidth="1"/>
    <col min="1480" max="1480" width="16.28515625" style="220" customWidth="1"/>
    <col min="1481" max="1481" width="20.28515625" style="220" bestFit="1" customWidth="1"/>
    <col min="1482" max="1484" width="20.28515625" style="220" customWidth="1"/>
    <col min="1485" max="1485" width="20.28515625" style="220" bestFit="1" customWidth="1"/>
    <col min="1486" max="1486" width="15.42578125" style="220" customWidth="1"/>
    <col min="1487" max="1487" width="20.28515625" style="220" bestFit="1" customWidth="1"/>
    <col min="1488" max="1490" width="20.28515625" style="220" customWidth="1"/>
    <col min="1491" max="1491" width="20.28515625" style="220" bestFit="1" customWidth="1"/>
    <col min="1492" max="1492" width="15.42578125" style="220" customWidth="1"/>
    <col min="1493" max="1493" width="20.7109375" style="220" bestFit="1" customWidth="1"/>
    <col min="1494" max="1496" width="20.7109375" style="220" customWidth="1"/>
    <col min="1497" max="1497" width="20.7109375" style="220" bestFit="1" customWidth="1"/>
    <col min="1498" max="1498" width="12.140625" style="220" customWidth="1"/>
    <col min="1499" max="1727" width="8.7109375" style="220" customWidth="1"/>
    <col min="1728" max="1728" width="7.28515625" style="220" customWidth="1"/>
    <col min="1729" max="1729" width="18.28515625" style="220" customWidth="1"/>
    <col min="1730" max="1730" width="23.42578125" style="220" bestFit="1" customWidth="1"/>
    <col min="1731" max="1732" width="10.140625" style="220" bestFit="1" customWidth="1"/>
    <col min="1733" max="1735" width="10.140625" style="220" customWidth="1"/>
    <col min="1736" max="1736" width="16.28515625" style="220" customWidth="1"/>
    <col min="1737" max="1737" width="20.28515625" style="220" bestFit="1" customWidth="1"/>
    <col min="1738" max="1740" width="20.28515625" style="220" customWidth="1"/>
    <col min="1741" max="1741" width="20.28515625" style="220" bestFit="1" customWidth="1"/>
    <col min="1742" max="1742" width="15.42578125" style="220" customWidth="1"/>
    <col min="1743" max="1743" width="20.28515625" style="220" bestFit="1" customWidth="1"/>
    <col min="1744" max="1746" width="20.28515625" style="220" customWidth="1"/>
    <col min="1747" max="1747" width="20.28515625" style="220" bestFit="1" customWidth="1"/>
    <col min="1748" max="1748" width="15.42578125" style="220" customWidth="1"/>
    <col min="1749" max="1749" width="20.7109375" style="220" bestFit="1" customWidth="1"/>
    <col min="1750" max="1752" width="20.7109375" style="220" customWidth="1"/>
    <col min="1753" max="1753" width="20.7109375" style="220" bestFit="1" customWidth="1"/>
    <col min="1754" max="1754" width="12.140625" style="220" customWidth="1"/>
    <col min="1755" max="1983" width="8.7109375" style="220" customWidth="1"/>
    <col min="1984" max="1984" width="7.28515625" style="220" customWidth="1"/>
    <col min="1985" max="1985" width="18.28515625" style="220" customWidth="1"/>
    <col min="1986" max="1986" width="23.42578125" style="220" bestFit="1" customWidth="1"/>
    <col min="1987" max="1988" width="10.140625" style="220" bestFit="1" customWidth="1"/>
    <col min="1989" max="1991" width="10.140625" style="220" customWidth="1"/>
    <col min="1992" max="1992" width="16.28515625" style="220" customWidth="1"/>
    <col min="1993" max="1993" width="20.28515625" style="220" bestFit="1" customWidth="1"/>
    <col min="1994" max="1996" width="20.28515625" style="220" customWidth="1"/>
    <col min="1997" max="1997" width="20.28515625" style="220" bestFit="1" customWidth="1"/>
    <col min="1998" max="1998" width="15.42578125" style="220" customWidth="1"/>
    <col min="1999" max="1999" width="20.28515625" style="220" bestFit="1" customWidth="1"/>
    <col min="2000" max="2002" width="20.28515625" style="220" customWidth="1"/>
    <col min="2003" max="2003" width="20.28515625" style="220" bestFit="1" customWidth="1"/>
    <col min="2004" max="2004" width="15.42578125" style="220" customWidth="1"/>
    <col min="2005" max="2005" width="20.7109375" style="220" bestFit="1" customWidth="1"/>
    <col min="2006" max="2008" width="20.7109375" style="220" customWidth="1"/>
    <col min="2009" max="2009" width="20.7109375" style="220" bestFit="1" customWidth="1"/>
    <col min="2010" max="2010" width="12.140625" style="220" customWidth="1"/>
    <col min="2011" max="2239" width="8.7109375" style="220" customWidth="1"/>
    <col min="2240" max="2240" width="7.28515625" style="220" customWidth="1"/>
    <col min="2241" max="2241" width="18.28515625" style="220" customWidth="1"/>
    <col min="2242" max="2242" width="23.42578125" style="220" bestFit="1" customWidth="1"/>
    <col min="2243" max="2244" width="10.140625" style="220" bestFit="1" customWidth="1"/>
    <col min="2245" max="2247" width="10.140625" style="220" customWidth="1"/>
    <col min="2248" max="2248" width="16.28515625" style="220" customWidth="1"/>
    <col min="2249" max="2249" width="20.28515625" style="220" bestFit="1" customWidth="1"/>
    <col min="2250" max="2252" width="20.28515625" style="220" customWidth="1"/>
    <col min="2253" max="2253" width="20.28515625" style="220" bestFit="1" customWidth="1"/>
    <col min="2254" max="2254" width="15.42578125" style="220" customWidth="1"/>
    <col min="2255" max="2255" width="20.28515625" style="220" bestFit="1" customWidth="1"/>
    <col min="2256" max="2258" width="20.28515625" style="220" customWidth="1"/>
    <col min="2259" max="2259" width="20.28515625" style="220" bestFit="1" customWidth="1"/>
    <col min="2260" max="2260" width="15.42578125" style="220" customWidth="1"/>
    <col min="2261" max="2261" width="20.7109375" style="220" bestFit="1" customWidth="1"/>
    <col min="2262" max="2264" width="20.7109375" style="220" customWidth="1"/>
    <col min="2265" max="2265" width="20.7109375" style="220" bestFit="1" customWidth="1"/>
    <col min="2266" max="2266" width="12.140625" style="220" customWidth="1"/>
    <col min="2267" max="2495" width="8.7109375" style="220" customWidth="1"/>
    <col min="2496" max="2496" width="7.28515625" style="220" customWidth="1"/>
    <col min="2497" max="2497" width="18.28515625" style="220" customWidth="1"/>
    <col min="2498" max="2498" width="23.42578125" style="220" bestFit="1" customWidth="1"/>
    <col min="2499" max="2500" width="10.140625" style="220" bestFit="1" customWidth="1"/>
    <col min="2501" max="2503" width="10.140625" style="220" customWidth="1"/>
    <col min="2504" max="2504" width="16.28515625" style="220" customWidth="1"/>
    <col min="2505" max="2505" width="20.28515625" style="220" bestFit="1" customWidth="1"/>
    <col min="2506" max="2508" width="20.28515625" style="220" customWidth="1"/>
    <col min="2509" max="2509" width="20.28515625" style="220" bestFit="1" customWidth="1"/>
    <col min="2510" max="2510" width="15.42578125" style="220" customWidth="1"/>
    <col min="2511" max="2511" width="20.28515625" style="220" bestFit="1" customWidth="1"/>
    <col min="2512" max="2514" width="20.28515625" style="220" customWidth="1"/>
    <col min="2515" max="2515" width="20.28515625" style="220" bestFit="1" customWidth="1"/>
    <col min="2516" max="2516" width="15.42578125" style="220" customWidth="1"/>
    <col min="2517" max="2517" width="20.7109375" style="220" bestFit="1" customWidth="1"/>
    <col min="2518" max="2520" width="20.7109375" style="220" customWidth="1"/>
    <col min="2521" max="2521" width="20.7109375" style="220" bestFit="1" customWidth="1"/>
    <col min="2522" max="2522" width="12.140625" style="220" customWidth="1"/>
    <col min="2523" max="2751" width="8.7109375" style="220" customWidth="1"/>
    <col min="2752" max="2752" width="7.28515625" style="220" customWidth="1"/>
    <col min="2753" max="2753" width="18.28515625" style="220" customWidth="1"/>
    <col min="2754" max="2754" width="23.42578125" style="220" bestFit="1" customWidth="1"/>
    <col min="2755" max="2756" width="10.140625" style="220" bestFit="1" customWidth="1"/>
    <col min="2757" max="2759" width="10.140625" style="220" customWidth="1"/>
    <col min="2760" max="2760" width="16.28515625" style="220" customWidth="1"/>
    <col min="2761" max="2761" width="20.28515625" style="220" bestFit="1" customWidth="1"/>
    <col min="2762" max="2764" width="20.28515625" style="220" customWidth="1"/>
    <col min="2765" max="2765" width="20.28515625" style="220" bestFit="1" customWidth="1"/>
    <col min="2766" max="2766" width="15.42578125" style="220" customWidth="1"/>
    <col min="2767" max="2767" width="20.28515625" style="220" bestFit="1" customWidth="1"/>
    <col min="2768" max="2770" width="20.28515625" style="220" customWidth="1"/>
    <col min="2771" max="2771" width="20.28515625" style="220" bestFit="1" customWidth="1"/>
    <col min="2772" max="2772" width="15.42578125" style="220" customWidth="1"/>
    <col min="2773" max="2773" width="20.7109375" style="220" bestFit="1" customWidth="1"/>
    <col min="2774" max="2776" width="20.7109375" style="220" customWidth="1"/>
    <col min="2777" max="2777" width="20.7109375" style="220" bestFit="1" customWidth="1"/>
    <col min="2778" max="2778" width="12.140625" style="220" customWidth="1"/>
    <col min="2779" max="3007" width="8.7109375" style="220" customWidth="1"/>
    <col min="3008" max="3008" width="7.28515625" style="220" customWidth="1"/>
    <col min="3009" max="3009" width="18.28515625" style="220" customWidth="1"/>
    <col min="3010" max="3010" width="23.42578125" style="220" bestFit="1" customWidth="1"/>
    <col min="3011" max="3012" width="10.140625" style="220" bestFit="1" customWidth="1"/>
    <col min="3013" max="3015" width="10.140625" style="220" customWidth="1"/>
    <col min="3016" max="3016" width="16.28515625" style="220" customWidth="1"/>
    <col min="3017" max="3017" width="20.28515625" style="220" bestFit="1" customWidth="1"/>
    <col min="3018" max="3020" width="20.28515625" style="220" customWidth="1"/>
    <col min="3021" max="3021" width="20.28515625" style="220" bestFit="1" customWidth="1"/>
    <col min="3022" max="3022" width="15.42578125" style="220" customWidth="1"/>
    <col min="3023" max="3023" width="20.28515625" style="220" bestFit="1" customWidth="1"/>
    <col min="3024" max="3026" width="20.28515625" style="220" customWidth="1"/>
    <col min="3027" max="3027" width="20.28515625" style="220" bestFit="1" customWidth="1"/>
    <col min="3028" max="3028" width="15.42578125" style="220" customWidth="1"/>
    <col min="3029" max="3029" width="20.7109375" style="220" bestFit="1" customWidth="1"/>
    <col min="3030" max="3032" width="20.7109375" style="220" customWidth="1"/>
    <col min="3033" max="3033" width="20.7109375" style="220" bestFit="1" customWidth="1"/>
    <col min="3034" max="3034" width="12.140625" style="220" customWidth="1"/>
    <col min="3035" max="3263" width="8.7109375" style="220" customWidth="1"/>
    <col min="3264" max="3264" width="7.28515625" style="220" customWidth="1"/>
    <col min="3265" max="3265" width="18.28515625" style="220" customWidth="1"/>
    <col min="3266" max="3266" width="23.42578125" style="220" bestFit="1" customWidth="1"/>
    <col min="3267" max="3268" width="10.140625" style="220" bestFit="1" customWidth="1"/>
    <col min="3269" max="3271" width="10.140625" style="220" customWidth="1"/>
    <col min="3272" max="3272" width="16.28515625" style="220" customWidth="1"/>
    <col min="3273" max="3273" width="20.28515625" style="220" bestFit="1" customWidth="1"/>
    <col min="3274" max="3276" width="20.28515625" style="220" customWidth="1"/>
    <col min="3277" max="3277" width="20.28515625" style="220" bestFit="1" customWidth="1"/>
    <col min="3278" max="3278" width="15.42578125" style="220" customWidth="1"/>
    <col min="3279" max="3279" width="20.28515625" style="220" bestFit="1" customWidth="1"/>
    <col min="3280" max="3282" width="20.28515625" style="220" customWidth="1"/>
    <col min="3283" max="3283" width="20.28515625" style="220" bestFit="1" customWidth="1"/>
    <col min="3284" max="3284" width="15.42578125" style="220" customWidth="1"/>
    <col min="3285" max="3285" width="20.7109375" style="220" bestFit="1" customWidth="1"/>
    <col min="3286" max="3288" width="20.7109375" style="220" customWidth="1"/>
    <col min="3289" max="3289" width="20.7109375" style="220" bestFit="1" customWidth="1"/>
    <col min="3290" max="3290" width="12.140625" style="220" customWidth="1"/>
    <col min="3291" max="3519" width="8.7109375" style="220" customWidth="1"/>
    <col min="3520" max="3520" width="7.28515625" style="220" customWidth="1"/>
    <col min="3521" max="3521" width="18.28515625" style="220" customWidth="1"/>
    <col min="3522" max="3522" width="23.42578125" style="220" bestFit="1" customWidth="1"/>
    <col min="3523" max="3524" width="10.140625" style="220" bestFit="1" customWidth="1"/>
    <col min="3525" max="3527" width="10.140625" style="220" customWidth="1"/>
    <col min="3528" max="3528" width="16.28515625" style="220" customWidth="1"/>
    <col min="3529" max="3529" width="20.28515625" style="220" bestFit="1" customWidth="1"/>
    <col min="3530" max="3532" width="20.28515625" style="220" customWidth="1"/>
    <col min="3533" max="3533" width="20.28515625" style="220" bestFit="1" customWidth="1"/>
    <col min="3534" max="3534" width="15.42578125" style="220" customWidth="1"/>
    <col min="3535" max="3535" width="20.28515625" style="220" bestFit="1" customWidth="1"/>
    <col min="3536" max="3538" width="20.28515625" style="220" customWidth="1"/>
    <col min="3539" max="3539" width="20.28515625" style="220" bestFit="1" customWidth="1"/>
    <col min="3540" max="3540" width="15.42578125" style="220" customWidth="1"/>
    <col min="3541" max="3541" width="20.7109375" style="220" bestFit="1" customWidth="1"/>
    <col min="3542" max="3544" width="20.7109375" style="220" customWidth="1"/>
    <col min="3545" max="3545" width="20.7109375" style="220" bestFit="1" customWidth="1"/>
    <col min="3546" max="3546" width="12.140625" style="220" customWidth="1"/>
    <col min="3547" max="3775" width="8.7109375" style="220" customWidth="1"/>
    <col min="3776" max="3776" width="7.28515625" style="220" customWidth="1"/>
    <col min="3777" max="3777" width="18.28515625" style="220" customWidth="1"/>
    <col min="3778" max="3778" width="23.42578125" style="220" bestFit="1" customWidth="1"/>
    <col min="3779" max="3780" width="10.140625" style="220" bestFit="1" customWidth="1"/>
    <col min="3781" max="3783" width="10.140625" style="220" customWidth="1"/>
    <col min="3784" max="3784" width="16.28515625" style="220" customWidth="1"/>
    <col min="3785" max="3785" width="20.28515625" style="220" bestFit="1" customWidth="1"/>
    <col min="3786" max="3788" width="20.28515625" style="220" customWidth="1"/>
    <col min="3789" max="3789" width="20.28515625" style="220" bestFit="1" customWidth="1"/>
    <col min="3790" max="3790" width="15.42578125" style="220" customWidth="1"/>
    <col min="3791" max="3791" width="20.28515625" style="220" bestFit="1" customWidth="1"/>
    <col min="3792" max="3794" width="20.28515625" style="220" customWidth="1"/>
    <col min="3795" max="3795" width="20.28515625" style="220" bestFit="1" customWidth="1"/>
    <col min="3796" max="3796" width="15.42578125" style="220" customWidth="1"/>
    <col min="3797" max="3797" width="20.7109375" style="220" bestFit="1" customWidth="1"/>
    <col min="3798" max="3800" width="20.7109375" style="220" customWidth="1"/>
    <col min="3801" max="3801" width="20.7109375" style="220" bestFit="1" customWidth="1"/>
    <col min="3802" max="3802" width="12.140625" style="220" customWidth="1"/>
    <col min="3803" max="4031" width="8.7109375" style="220" customWidth="1"/>
    <col min="4032" max="4032" width="7.28515625" style="220" customWidth="1"/>
    <col min="4033" max="4033" width="18.28515625" style="220" customWidth="1"/>
    <col min="4034" max="4034" width="23.42578125" style="220" bestFit="1" customWidth="1"/>
    <col min="4035" max="4036" width="10.140625" style="220" bestFit="1" customWidth="1"/>
    <col min="4037" max="4039" width="10.140625" style="220" customWidth="1"/>
    <col min="4040" max="4040" width="16.28515625" style="220" customWidth="1"/>
    <col min="4041" max="4041" width="20.28515625" style="220" bestFit="1" customWidth="1"/>
    <col min="4042" max="4044" width="20.28515625" style="220" customWidth="1"/>
    <col min="4045" max="4045" width="20.28515625" style="220" bestFit="1" customWidth="1"/>
    <col min="4046" max="4046" width="15.42578125" style="220" customWidth="1"/>
    <col min="4047" max="4047" width="20.28515625" style="220" bestFit="1" customWidth="1"/>
    <col min="4048" max="4050" width="20.28515625" style="220" customWidth="1"/>
    <col min="4051" max="4051" width="20.28515625" style="220" bestFit="1" customWidth="1"/>
    <col min="4052" max="4052" width="15.42578125" style="220" customWidth="1"/>
    <col min="4053" max="4053" width="20.7109375" style="220" bestFit="1" customWidth="1"/>
    <col min="4054" max="4056" width="20.7109375" style="220" customWidth="1"/>
    <col min="4057" max="4057" width="20.7109375" style="220" bestFit="1" customWidth="1"/>
    <col min="4058" max="4058" width="12.140625" style="220" customWidth="1"/>
    <col min="4059" max="4287" width="8.7109375" style="220" customWidth="1"/>
    <col min="4288" max="4288" width="7.28515625" style="220" customWidth="1"/>
    <col min="4289" max="4289" width="18.28515625" style="220" customWidth="1"/>
    <col min="4290" max="4290" width="23.42578125" style="220" bestFit="1" customWidth="1"/>
    <col min="4291" max="4292" width="10.140625" style="220" bestFit="1" customWidth="1"/>
    <col min="4293" max="4295" width="10.140625" style="220" customWidth="1"/>
    <col min="4296" max="4296" width="16.28515625" style="220" customWidth="1"/>
    <col min="4297" max="4297" width="20.28515625" style="220" bestFit="1" customWidth="1"/>
    <col min="4298" max="4300" width="20.28515625" style="220" customWidth="1"/>
    <col min="4301" max="4301" width="20.28515625" style="220" bestFit="1" customWidth="1"/>
    <col min="4302" max="4302" width="15.42578125" style="220" customWidth="1"/>
    <col min="4303" max="4303" width="20.28515625" style="220" bestFit="1" customWidth="1"/>
    <col min="4304" max="4306" width="20.28515625" style="220" customWidth="1"/>
    <col min="4307" max="4307" width="20.28515625" style="220" bestFit="1" customWidth="1"/>
    <col min="4308" max="4308" width="15.42578125" style="220" customWidth="1"/>
    <col min="4309" max="4309" width="20.7109375" style="220" bestFit="1" customWidth="1"/>
    <col min="4310" max="4312" width="20.7109375" style="220" customWidth="1"/>
    <col min="4313" max="4313" width="20.7109375" style="220" bestFit="1" customWidth="1"/>
    <col min="4314" max="4314" width="12.140625" style="220" customWidth="1"/>
    <col min="4315" max="4543" width="8.7109375" style="220" customWidth="1"/>
    <col min="4544" max="4544" width="7.28515625" style="220" customWidth="1"/>
    <col min="4545" max="4545" width="18.28515625" style="220" customWidth="1"/>
    <col min="4546" max="4546" width="23.42578125" style="220" bestFit="1" customWidth="1"/>
    <col min="4547" max="4548" width="10.140625" style="220" bestFit="1" customWidth="1"/>
    <col min="4549" max="4551" width="10.140625" style="220" customWidth="1"/>
    <col min="4552" max="4552" width="16.28515625" style="220" customWidth="1"/>
    <col min="4553" max="4553" width="20.28515625" style="220" bestFit="1" customWidth="1"/>
    <col min="4554" max="4556" width="20.28515625" style="220" customWidth="1"/>
    <col min="4557" max="4557" width="20.28515625" style="220" bestFit="1" customWidth="1"/>
    <col min="4558" max="4558" width="15.42578125" style="220" customWidth="1"/>
    <col min="4559" max="4559" width="20.28515625" style="220" bestFit="1" customWidth="1"/>
    <col min="4560" max="4562" width="20.28515625" style="220" customWidth="1"/>
    <col min="4563" max="4563" width="20.28515625" style="220" bestFit="1" customWidth="1"/>
    <col min="4564" max="4564" width="15.42578125" style="220" customWidth="1"/>
    <col min="4565" max="4565" width="20.7109375" style="220" bestFit="1" customWidth="1"/>
    <col min="4566" max="4568" width="20.7109375" style="220" customWidth="1"/>
    <col min="4569" max="4569" width="20.7109375" style="220" bestFit="1" customWidth="1"/>
    <col min="4570" max="4570" width="12.140625" style="220" customWidth="1"/>
    <col min="4571" max="4799" width="8.7109375" style="220" customWidth="1"/>
    <col min="4800" max="4800" width="7.28515625" style="220" customWidth="1"/>
    <col min="4801" max="4801" width="18.28515625" style="220" customWidth="1"/>
    <col min="4802" max="4802" width="23.42578125" style="220" bestFit="1" customWidth="1"/>
    <col min="4803" max="4804" width="10.140625" style="220" bestFit="1" customWidth="1"/>
    <col min="4805" max="4807" width="10.140625" style="220" customWidth="1"/>
    <col min="4808" max="4808" width="16.28515625" style="220" customWidth="1"/>
    <col min="4809" max="4809" width="20.28515625" style="220" bestFit="1" customWidth="1"/>
    <col min="4810" max="4812" width="20.28515625" style="220" customWidth="1"/>
    <col min="4813" max="4813" width="20.28515625" style="220" bestFit="1" customWidth="1"/>
    <col min="4814" max="4814" width="15.42578125" style="220" customWidth="1"/>
    <col min="4815" max="4815" width="20.28515625" style="220" bestFit="1" customWidth="1"/>
    <col min="4816" max="4818" width="20.28515625" style="220" customWidth="1"/>
    <col min="4819" max="4819" width="20.28515625" style="220" bestFit="1" customWidth="1"/>
    <col min="4820" max="4820" width="15.42578125" style="220" customWidth="1"/>
    <col min="4821" max="4821" width="20.7109375" style="220" bestFit="1" customWidth="1"/>
    <col min="4822" max="4824" width="20.7109375" style="220" customWidth="1"/>
    <col min="4825" max="4825" width="20.7109375" style="220" bestFit="1" customWidth="1"/>
    <col min="4826" max="4826" width="12.140625" style="220" customWidth="1"/>
    <col min="4827" max="5055" width="8.7109375" style="220" customWidth="1"/>
    <col min="5056" max="5056" width="7.28515625" style="220" customWidth="1"/>
    <col min="5057" max="5057" width="18.28515625" style="220" customWidth="1"/>
    <col min="5058" max="5058" width="23.42578125" style="220" bestFit="1" customWidth="1"/>
    <col min="5059" max="5060" width="10.140625" style="220" bestFit="1" customWidth="1"/>
    <col min="5061" max="5063" width="10.140625" style="220" customWidth="1"/>
    <col min="5064" max="5064" width="16.28515625" style="220" customWidth="1"/>
    <col min="5065" max="5065" width="20.28515625" style="220" bestFit="1" customWidth="1"/>
    <col min="5066" max="5068" width="20.28515625" style="220" customWidth="1"/>
    <col min="5069" max="5069" width="20.28515625" style="220" bestFit="1" customWidth="1"/>
    <col min="5070" max="5070" width="15.42578125" style="220" customWidth="1"/>
    <col min="5071" max="5071" width="20.28515625" style="220" bestFit="1" customWidth="1"/>
    <col min="5072" max="5074" width="20.28515625" style="220" customWidth="1"/>
    <col min="5075" max="5075" width="20.28515625" style="220" bestFit="1" customWidth="1"/>
    <col min="5076" max="5076" width="15.42578125" style="220" customWidth="1"/>
    <col min="5077" max="5077" width="20.7109375" style="220" bestFit="1" customWidth="1"/>
    <col min="5078" max="5080" width="20.7109375" style="220" customWidth="1"/>
    <col min="5081" max="5081" width="20.7109375" style="220" bestFit="1" customWidth="1"/>
    <col min="5082" max="5082" width="12.140625" style="220" customWidth="1"/>
    <col min="5083" max="5311" width="8.7109375" style="220" customWidth="1"/>
    <col min="5312" max="5312" width="7.28515625" style="220" customWidth="1"/>
    <col min="5313" max="5313" width="18.28515625" style="220" customWidth="1"/>
    <col min="5314" max="5314" width="23.42578125" style="220" bestFit="1" customWidth="1"/>
    <col min="5315" max="5316" width="10.140625" style="220" bestFit="1" customWidth="1"/>
    <col min="5317" max="5319" width="10.140625" style="220" customWidth="1"/>
    <col min="5320" max="5320" width="16.28515625" style="220" customWidth="1"/>
    <col min="5321" max="5321" width="20.28515625" style="220" bestFit="1" customWidth="1"/>
    <col min="5322" max="5324" width="20.28515625" style="220" customWidth="1"/>
    <col min="5325" max="5325" width="20.28515625" style="220" bestFit="1" customWidth="1"/>
    <col min="5326" max="5326" width="15.42578125" style="220" customWidth="1"/>
    <col min="5327" max="5327" width="20.28515625" style="220" bestFit="1" customWidth="1"/>
    <col min="5328" max="5330" width="20.28515625" style="220" customWidth="1"/>
    <col min="5331" max="5331" width="20.28515625" style="220" bestFit="1" customWidth="1"/>
    <col min="5332" max="5332" width="15.42578125" style="220" customWidth="1"/>
    <col min="5333" max="5333" width="20.7109375" style="220" bestFit="1" customWidth="1"/>
    <col min="5334" max="5336" width="20.7109375" style="220" customWidth="1"/>
    <col min="5337" max="5337" width="20.7109375" style="220" bestFit="1" customWidth="1"/>
    <col min="5338" max="5338" width="12.140625" style="220" customWidth="1"/>
    <col min="5339" max="5567" width="8.7109375" style="220" customWidth="1"/>
    <col min="5568" max="5568" width="7.28515625" style="220" customWidth="1"/>
    <col min="5569" max="5569" width="18.28515625" style="220" customWidth="1"/>
    <col min="5570" max="5570" width="23.42578125" style="220" bestFit="1" customWidth="1"/>
    <col min="5571" max="5572" width="10.140625" style="220" bestFit="1" customWidth="1"/>
    <col min="5573" max="5575" width="10.140625" style="220" customWidth="1"/>
    <col min="5576" max="5576" width="16.28515625" style="220" customWidth="1"/>
    <col min="5577" max="5577" width="20.28515625" style="220" bestFit="1" customWidth="1"/>
    <col min="5578" max="5580" width="20.28515625" style="220" customWidth="1"/>
    <col min="5581" max="5581" width="20.28515625" style="220" bestFit="1" customWidth="1"/>
    <col min="5582" max="5582" width="15.42578125" style="220" customWidth="1"/>
    <col min="5583" max="5583" width="20.28515625" style="220" bestFit="1" customWidth="1"/>
    <col min="5584" max="5586" width="20.28515625" style="220" customWidth="1"/>
    <col min="5587" max="5587" width="20.28515625" style="220" bestFit="1" customWidth="1"/>
    <col min="5588" max="5588" width="15.42578125" style="220" customWidth="1"/>
    <col min="5589" max="5589" width="20.7109375" style="220" bestFit="1" customWidth="1"/>
    <col min="5590" max="5592" width="20.7109375" style="220" customWidth="1"/>
    <col min="5593" max="5593" width="20.7109375" style="220" bestFit="1" customWidth="1"/>
    <col min="5594" max="5594" width="12.140625" style="220" customWidth="1"/>
    <col min="5595" max="5823" width="8.7109375" style="220" customWidth="1"/>
    <col min="5824" max="5824" width="7.28515625" style="220" customWidth="1"/>
    <col min="5825" max="5825" width="18.28515625" style="220" customWidth="1"/>
    <col min="5826" max="5826" width="23.42578125" style="220" bestFit="1" customWidth="1"/>
    <col min="5827" max="5828" width="10.140625" style="220" bestFit="1" customWidth="1"/>
    <col min="5829" max="5831" width="10.140625" style="220" customWidth="1"/>
    <col min="5832" max="5832" width="16.28515625" style="220" customWidth="1"/>
    <col min="5833" max="5833" width="20.28515625" style="220" bestFit="1" customWidth="1"/>
    <col min="5834" max="5836" width="20.28515625" style="220" customWidth="1"/>
    <col min="5837" max="5837" width="20.28515625" style="220" bestFit="1" customWidth="1"/>
    <col min="5838" max="5838" width="15.42578125" style="220" customWidth="1"/>
    <col min="5839" max="5839" width="20.28515625" style="220" bestFit="1" customWidth="1"/>
    <col min="5840" max="5842" width="20.28515625" style="220" customWidth="1"/>
    <col min="5843" max="5843" width="20.28515625" style="220" bestFit="1" customWidth="1"/>
    <col min="5844" max="5844" width="15.42578125" style="220" customWidth="1"/>
    <col min="5845" max="5845" width="20.7109375" style="220" bestFit="1" customWidth="1"/>
    <col min="5846" max="5848" width="20.7109375" style="220" customWidth="1"/>
    <col min="5849" max="5849" width="20.7109375" style="220" bestFit="1" customWidth="1"/>
    <col min="5850" max="5850" width="12.140625" style="220" customWidth="1"/>
    <col min="5851" max="6079" width="8.7109375" style="220" customWidth="1"/>
    <col min="6080" max="6080" width="7.28515625" style="220" customWidth="1"/>
    <col min="6081" max="6081" width="18.28515625" style="220" customWidth="1"/>
    <col min="6082" max="6082" width="23.42578125" style="220" bestFit="1" customWidth="1"/>
    <col min="6083" max="6084" width="10.140625" style="220" bestFit="1" customWidth="1"/>
    <col min="6085" max="6087" width="10.140625" style="220" customWidth="1"/>
    <col min="6088" max="6088" width="16.28515625" style="220" customWidth="1"/>
    <col min="6089" max="6089" width="20.28515625" style="220" bestFit="1" customWidth="1"/>
    <col min="6090" max="6092" width="20.28515625" style="220" customWidth="1"/>
    <col min="6093" max="6093" width="20.28515625" style="220" bestFit="1" customWidth="1"/>
    <col min="6094" max="6094" width="15.42578125" style="220" customWidth="1"/>
    <col min="6095" max="6095" width="20.28515625" style="220" bestFit="1" customWidth="1"/>
    <col min="6096" max="6098" width="20.28515625" style="220" customWidth="1"/>
    <col min="6099" max="6099" width="20.28515625" style="220" bestFit="1" customWidth="1"/>
    <col min="6100" max="6100" width="15.42578125" style="220" customWidth="1"/>
    <col min="6101" max="6101" width="20.7109375" style="220" bestFit="1" customWidth="1"/>
    <col min="6102" max="6104" width="20.7109375" style="220" customWidth="1"/>
    <col min="6105" max="6105" width="20.7109375" style="220" bestFit="1" customWidth="1"/>
    <col min="6106" max="6106" width="12.140625" style="220" customWidth="1"/>
    <col min="6107" max="6335" width="8.7109375" style="220" customWidth="1"/>
    <col min="6336" max="6336" width="7.28515625" style="220" customWidth="1"/>
    <col min="6337" max="6337" width="18.28515625" style="220" customWidth="1"/>
    <col min="6338" max="6338" width="23.42578125" style="220" bestFit="1" customWidth="1"/>
    <col min="6339" max="6340" width="10.140625" style="220" bestFit="1" customWidth="1"/>
    <col min="6341" max="6343" width="10.140625" style="220" customWidth="1"/>
    <col min="6344" max="6344" width="16.28515625" style="220" customWidth="1"/>
    <col min="6345" max="6345" width="20.28515625" style="220" bestFit="1" customWidth="1"/>
    <col min="6346" max="6348" width="20.28515625" style="220" customWidth="1"/>
    <col min="6349" max="6349" width="20.28515625" style="220" bestFit="1" customWidth="1"/>
    <col min="6350" max="6350" width="15.42578125" style="220" customWidth="1"/>
    <col min="6351" max="6351" width="20.28515625" style="220" bestFit="1" customWidth="1"/>
    <col min="6352" max="6354" width="20.28515625" style="220" customWidth="1"/>
    <col min="6355" max="6355" width="20.28515625" style="220" bestFit="1" customWidth="1"/>
    <col min="6356" max="6356" width="15.42578125" style="220" customWidth="1"/>
    <col min="6357" max="6357" width="20.7109375" style="220" bestFit="1" customWidth="1"/>
    <col min="6358" max="6360" width="20.7109375" style="220" customWidth="1"/>
    <col min="6361" max="6361" width="20.7109375" style="220" bestFit="1" customWidth="1"/>
    <col min="6362" max="6362" width="12.140625" style="220" customWidth="1"/>
    <col min="6363" max="6591" width="8.7109375" style="220" customWidth="1"/>
    <col min="6592" max="6592" width="7.28515625" style="220" customWidth="1"/>
    <col min="6593" max="6593" width="18.28515625" style="220" customWidth="1"/>
    <col min="6594" max="6594" width="23.42578125" style="220" bestFit="1" customWidth="1"/>
    <col min="6595" max="6596" width="10.140625" style="220" bestFit="1" customWidth="1"/>
    <col min="6597" max="6599" width="10.140625" style="220" customWidth="1"/>
    <col min="6600" max="6600" width="16.28515625" style="220" customWidth="1"/>
    <col min="6601" max="6601" width="20.28515625" style="220" bestFit="1" customWidth="1"/>
    <col min="6602" max="6604" width="20.28515625" style="220" customWidth="1"/>
    <col min="6605" max="6605" width="20.28515625" style="220" bestFit="1" customWidth="1"/>
    <col min="6606" max="6606" width="15.42578125" style="220" customWidth="1"/>
    <col min="6607" max="6607" width="20.28515625" style="220" bestFit="1" customWidth="1"/>
    <col min="6608" max="6610" width="20.28515625" style="220" customWidth="1"/>
    <col min="6611" max="6611" width="20.28515625" style="220" bestFit="1" customWidth="1"/>
    <col min="6612" max="6612" width="15.42578125" style="220" customWidth="1"/>
    <col min="6613" max="6613" width="20.7109375" style="220" bestFit="1" customWidth="1"/>
    <col min="6614" max="6616" width="20.7109375" style="220" customWidth="1"/>
    <col min="6617" max="6617" width="20.7109375" style="220" bestFit="1" customWidth="1"/>
    <col min="6618" max="6618" width="12.140625" style="220" customWidth="1"/>
    <col min="6619" max="6847" width="8.7109375" style="220" customWidth="1"/>
    <col min="6848" max="6848" width="7.28515625" style="220" customWidth="1"/>
    <col min="6849" max="6849" width="18.28515625" style="220" customWidth="1"/>
    <col min="6850" max="6850" width="23.42578125" style="220" bestFit="1" customWidth="1"/>
    <col min="6851" max="6852" width="10.140625" style="220" bestFit="1" customWidth="1"/>
    <col min="6853" max="6855" width="10.140625" style="220" customWidth="1"/>
    <col min="6856" max="6856" width="16.28515625" style="220" customWidth="1"/>
    <col min="6857" max="6857" width="20.28515625" style="220" bestFit="1" customWidth="1"/>
    <col min="6858" max="6860" width="20.28515625" style="220" customWidth="1"/>
    <col min="6861" max="6861" width="20.28515625" style="220" bestFit="1" customWidth="1"/>
    <col min="6862" max="6862" width="15.42578125" style="220" customWidth="1"/>
    <col min="6863" max="6863" width="20.28515625" style="220" bestFit="1" customWidth="1"/>
    <col min="6864" max="6866" width="20.28515625" style="220" customWidth="1"/>
    <col min="6867" max="6867" width="20.28515625" style="220" bestFit="1" customWidth="1"/>
    <col min="6868" max="6868" width="15.42578125" style="220" customWidth="1"/>
    <col min="6869" max="6869" width="20.7109375" style="220" bestFit="1" customWidth="1"/>
    <col min="6870" max="6872" width="20.7109375" style="220" customWidth="1"/>
    <col min="6873" max="6873" width="20.7109375" style="220" bestFit="1" customWidth="1"/>
    <col min="6874" max="6874" width="12.140625" style="220" customWidth="1"/>
    <col min="6875" max="7103" width="8.7109375" style="220" customWidth="1"/>
    <col min="7104" max="7104" width="7.28515625" style="220" customWidth="1"/>
    <col min="7105" max="7105" width="18.28515625" style="220" customWidth="1"/>
    <col min="7106" max="7106" width="23.42578125" style="220" bestFit="1" customWidth="1"/>
    <col min="7107" max="7108" width="10.140625" style="220" bestFit="1" customWidth="1"/>
    <col min="7109" max="7111" width="10.140625" style="220" customWidth="1"/>
    <col min="7112" max="7112" width="16.28515625" style="220" customWidth="1"/>
    <col min="7113" max="7113" width="20.28515625" style="220" bestFit="1" customWidth="1"/>
    <col min="7114" max="7116" width="20.28515625" style="220" customWidth="1"/>
    <col min="7117" max="7117" width="20.28515625" style="220" bestFit="1" customWidth="1"/>
    <col min="7118" max="7118" width="15.42578125" style="220" customWidth="1"/>
    <col min="7119" max="7119" width="20.28515625" style="220" bestFit="1" customWidth="1"/>
    <col min="7120" max="7122" width="20.28515625" style="220" customWidth="1"/>
    <col min="7123" max="7123" width="20.28515625" style="220" bestFit="1" customWidth="1"/>
    <col min="7124" max="7124" width="15.42578125" style="220" customWidth="1"/>
    <col min="7125" max="7125" width="20.7109375" style="220" bestFit="1" customWidth="1"/>
    <col min="7126" max="7128" width="20.7109375" style="220" customWidth="1"/>
    <col min="7129" max="7129" width="20.7109375" style="220" bestFit="1" customWidth="1"/>
    <col min="7130" max="7130" width="12.140625" style="220" customWidth="1"/>
    <col min="7131" max="7359" width="8.7109375" style="220" customWidth="1"/>
    <col min="7360" max="7360" width="7.28515625" style="220" customWidth="1"/>
    <col min="7361" max="7361" width="18.28515625" style="220" customWidth="1"/>
    <col min="7362" max="7362" width="23.42578125" style="220" bestFit="1" customWidth="1"/>
    <col min="7363" max="7364" width="10.140625" style="220" bestFit="1" customWidth="1"/>
    <col min="7365" max="7367" width="10.140625" style="220" customWidth="1"/>
    <col min="7368" max="7368" width="16.28515625" style="220" customWidth="1"/>
    <col min="7369" max="7369" width="20.28515625" style="220" bestFit="1" customWidth="1"/>
    <col min="7370" max="7372" width="20.28515625" style="220" customWidth="1"/>
    <col min="7373" max="7373" width="20.28515625" style="220" bestFit="1" customWidth="1"/>
    <col min="7374" max="7374" width="15.42578125" style="220" customWidth="1"/>
    <col min="7375" max="7375" width="20.28515625" style="220" bestFit="1" customWidth="1"/>
    <col min="7376" max="7378" width="20.28515625" style="220" customWidth="1"/>
    <col min="7379" max="7379" width="20.28515625" style="220" bestFit="1" customWidth="1"/>
    <col min="7380" max="7380" width="15.42578125" style="220" customWidth="1"/>
    <col min="7381" max="7381" width="20.7109375" style="220" bestFit="1" customWidth="1"/>
    <col min="7382" max="7384" width="20.7109375" style="220" customWidth="1"/>
    <col min="7385" max="7385" width="20.7109375" style="220" bestFit="1" customWidth="1"/>
    <col min="7386" max="7386" width="12.140625" style="220" customWidth="1"/>
    <col min="7387" max="7615" width="8.7109375" style="220" customWidth="1"/>
    <col min="7616" max="7616" width="7.28515625" style="220" customWidth="1"/>
    <col min="7617" max="7617" width="18.28515625" style="220" customWidth="1"/>
    <col min="7618" max="7618" width="23.42578125" style="220" bestFit="1" customWidth="1"/>
    <col min="7619" max="7620" width="10.140625" style="220" bestFit="1" customWidth="1"/>
    <col min="7621" max="7623" width="10.140625" style="220" customWidth="1"/>
    <col min="7624" max="7624" width="16.28515625" style="220" customWidth="1"/>
    <col min="7625" max="7625" width="20.28515625" style="220" bestFit="1" customWidth="1"/>
    <col min="7626" max="7628" width="20.28515625" style="220" customWidth="1"/>
    <col min="7629" max="7629" width="20.28515625" style="220" bestFit="1" customWidth="1"/>
    <col min="7630" max="7630" width="15.42578125" style="220" customWidth="1"/>
    <col min="7631" max="7631" width="20.28515625" style="220" bestFit="1" customWidth="1"/>
    <col min="7632" max="7634" width="20.28515625" style="220" customWidth="1"/>
    <col min="7635" max="7635" width="20.28515625" style="220" bestFit="1" customWidth="1"/>
    <col min="7636" max="7636" width="15.42578125" style="220" customWidth="1"/>
    <col min="7637" max="7637" width="20.7109375" style="220" bestFit="1" customWidth="1"/>
    <col min="7638" max="7640" width="20.7109375" style="220" customWidth="1"/>
    <col min="7641" max="7641" width="20.7109375" style="220" bestFit="1" customWidth="1"/>
    <col min="7642" max="7642" width="12.140625" style="220" customWidth="1"/>
    <col min="7643" max="7871" width="8.7109375" style="220" customWidth="1"/>
    <col min="7872" max="7872" width="7.28515625" style="220" customWidth="1"/>
    <col min="7873" max="7873" width="18.28515625" style="220" customWidth="1"/>
    <col min="7874" max="7874" width="23.42578125" style="220" bestFit="1" customWidth="1"/>
    <col min="7875" max="7876" width="10.140625" style="220" bestFit="1" customWidth="1"/>
    <col min="7877" max="7879" width="10.140625" style="220" customWidth="1"/>
    <col min="7880" max="7880" width="16.28515625" style="220" customWidth="1"/>
    <col min="7881" max="7881" width="20.28515625" style="220" bestFit="1" customWidth="1"/>
    <col min="7882" max="7884" width="20.28515625" style="220" customWidth="1"/>
    <col min="7885" max="7885" width="20.28515625" style="220" bestFit="1" customWidth="1"/>
    <col min="7886" max="7886" width="15.42578125" style="220" customWidth="1"/>
    <col min="7887" max="7887" width="20.28515625" style="220" bestFit="1" customWidth="1"/>
    <col min="7888" max="7890" width="20.28515625" style="220" customWidth="1"/>
    <col min="7891" max="7891" width="20.28515625" style="220" bestFit="1" customWidth="1"/>
    <col min="7892" max="7892" width="15.42578125" style="220" customWidth="1"/>
    <col min="7893" max="7893" width="20.7109375" style="220" bestFit="1" customWidth="1"/>
    <col min="7894" max="7896" width="20.7109375" style="220" customWidth="1"/>
    <col min="7897" max="7897" width="20.7109375" style="220" bestFit="1" customWidth="1"/>
    <col min="7898" max="7898" width="12.140625" style="220" customWidth="1"/>
    <col min="7899" max="8127" width="8.7109375" style="220" customWidth="1"/>
    <col min="8128" max="8128" width="7.28515625" style="220" customWidth="1"/>
    <col min="8129" max="8129" width="18.28515625" style="220" customWidth="1"/>
    <col min="8130" max="8130" width="23.42578125" style="220" bestFit="1" customWidth="1"/>
    <col min="8131" max="8132" width="10.140625" style="220" bestFit="1" customWidth="1"/>
    <col min="8133" max="8135" width="10.140625" style="220" customWidth="1"/>
    <col min="8136" max="8136" width="16.28515625" style="220" customWidth="1"/>
    <col min="8137" max="8137" width="20.28515625" style="220" bestFit="1" customWidth="1"/>
    <col min="8138" max="8140" width="20.28515625" style="220" customWidth="1"/>
    <col min="8141" max="8141" width="20.28515625" style="220" bestFit="1" customWidth="1"/>
    <col min="8142" max="8142" width="15.42578125" style="220" customWidth="1"/>
    <col min="8143" max="8143" width="20.28515625" style="220" bestFit="1" customWidth="1"/>
    <col min="8144" max="8146" width="20.28515625" style="220" customWidth="1"/>
    <col min="8147" max="8147" width="20.28515625" style="220" bestFit="1" customWidth="1"/>
    <col min="8148" max="8148" width="15.42578125" style="220" customWidth="1"/>
    <col min="8149" max="8149" width="20.7109375" style="220" bestFit="1" customWidth="1"/>
    <col min="8150" max="8152" width="20.7109375" style="220" customWidth="1"/>
    <col min="8153" max="8153" width="20.7109375" style="220" bestFit="1" customWidth="1"/>
    <col min="8154" max="8154" width="12.140625" style="220" customWidth="1"/>
    <col min="8155" max="8383" width="8.7109375" style="220" customWidth="1"/>
    <col min="8384" max="8384" width="7.28515625" style="220" customWidth="1"/>
    <col min="8385" max="8385" width="18.28515625" style="220" customWidth="1"/>
    <col min="8386" max="8386" width="23.42578125" style="220" bestFit="1" customWidth="1"/>
    <col min="8387" max="8388" width="10.140625" style="220" bestFit="1" customWidth="1"/>
    <col min="8389" max="8391" width="10.140625" style="220" customWidth="1"/>
    <col min="8392" max="8392" width="16.28515625" style="220" customWidth="1"/>
    <col min="8393" max="8393" width="20.28515625" style="220" bestFit="1" customWidth="1"/>
    <col min="8394" max="8396" width="20.28515625" style="220" customWidth="1"/>
    <col min="8397" max="8397" width="20.28515625" style="220" bestFit="1" customWidth="1"/>
    <col min="8398" max="8398" width="15.42578125" style="220" customWidth="1"/>
    <col min="8399" max="8399" width="20.28515625" style="220" bestFit="1" customWidth="1"/>
    <col min="8400" max="8402" width="20.28515625" style="220" customWidth="1"/>
    <col min="8403" max="8403" width="20.28515625" style="220" bestFit="1" customWidth="1"/>
    <col min="8404" max="8404" width="15.42578125" style="220" customWidth="1"/>
    <col min="8405" max="8405" width="20.7109375" style="220" bestFit="1" customWidth="1"/>
    <col min="8406" max="8408" width="20.7109375" style="220" customWidth="1"/>
    <col min="8409" max="8409" width="20.7109375" style="220" bestFit="1" customWidth="1"/>
    <col min="8410" max="8410" width="12.140625" style="220" customWidth="1"/>
    <col min="8411" max="8639" width="8.7109375" style="220" customWidth="1"/>
    <col min="8640" max="8640" width="7.28515625" style="220" customWidth="1"/>
    <col min="8641" max="8641" width="18.28515625" style="220" customWidth="1"/>
    <col min="8642" max="8642" width="23.42578125" style="220" bestFit="1" customWidth="1"/>
    <col min="8643" max="8644" width="10.140625" style="220" bestFit="1" customWidth="1"/>
    <col min="8645" max="8647" width="10.140625" style="220" customWidth="1"/>
    <col min="8648" max="8648" width="16.28515625" style="220" customWidth="1"/>
    <col min="8649" max="8649" width="20.28515625" style="220" bestFit="1" customWidth="1"/>
    <col min="8650" max="8652" width="20.28515625" style="220" customWidth="1"/>
    <col min="8653" max="8653" width="20.28515625" style="220" bestFit="1" customWidth="1"/>
    <col min="8654" max="8654" width="15.42578125" style="220" customWidth="1"/>
    <col min="8655" max="8655" width="20.28515625" style="220" bestFit="1" customWidth="1"/>
    <col min="8656" max="8658" width="20.28515625" style="220" customWidth="1"/>
    <col min="8659" max="8659" width="20.28515625" style="220" bestFit="1" customWidth="1"/>
    <col min="8660" max="8660" width="15.42578125" style="220" customWidth="1"/>
    <col min="8661" max="8661" width="20.7109375" style="220" bestFit="1" customWidth="1"/>
    <col min="8662" max="8664" width="20.7109375" style="220" customWidth="1"/>
    <col min="8665" max="8665" width="20.7109375" style="220" bestFit="1" customWidth="1"/>
    <col min="8666" max="8666" width="12.140625" style="220" customWidth="1"/>
    <col min="8667" max="8895" width="8.7109375" style="220" customWidth="1"/>
    <col min="8896" max="8896" width="7.28515625" style="220" customWidth="1"/>
    <col min="8897" max="8897" width="18.28515625" style="220" customWidth="1"/>
    <col min="8898" max="8898" width="23.42578125" style="220" bestFit="1" customWidth="1"/>
    <col min="8899" max="8900" width="10.140625" style="220" bestFit="1" customWidth="1"/>
    <col min="8901" max="8903" width="10.140625" style="220" customWidth="1"/>
    <col min="8904" max="8904" width="16.28515625" style="220" customWidth="1"/>
    <col min="8905" max="8905" width="20.28515625" style="220" bestFit="1" customWidth="1"/>
    <col min="8906" max="8908" width="20.28515625" style="220" customWidth="1"/>
    <col min="8909" max="8909" width="20.28515625" style="220" bestFit="1" customWidth="1"/>
    <col min="8910" max="8910" width="15.42578125" style="220" customWidth="1"/>
    <col min="8911" max="8911" width="20.28515625" style="220" bestFit="1" customWidth="1"/>
    <col min="8912" max="8914" width="20.28515625" style="220" customWidth="1"/>
    <col min="8915" max="8915" width="20.28515625" style="220" bestFit="1" customWidth="1"/>
    <col min="8916" max="8916" width="15.42578125" style="220" customWidth="1"/>
    <col min="8917" max="8917" width="20.7109375" style="220" bestFit="1" customWidth="1"/>
    <col min="8918" max="8920" width="20.7109375" style="220" customWidth="1"/>
    <col min="8921" max="8921" width="20.7109375" style="220" bestFit="1" customWidth="1"/>
    <col min="8922" max="8922" width="12.140625" style="220" customWidth="1"/>
    <col min="8923" max="9151" width="8.7109375" style="220" customWidth="1"/>
    <col min="9152" max="9152" width="7.28515625" style="220" customWidth="1"/>
    <col min="9153" max="9153" width="18.28515625" style="220" customWidth="1"/>
    <col min="9154" max="9154" width="23.42578125" style="220" bestFit="1" customWidth="1"/>
    <col min="9155" max="9156" width="10.140625" style="220" bestFit="1" customWidth="1"/>
    <col min="9157" max="9159" width="10.140625" style="220" customWidth="1"/>
    <col min="9160" max="9160" width="16.28515625" style="220" customWidth="1"/>
    <col min="9161" max="9161" width="20.28515625" style="220" bestFit="1" customWidth="1"/>
    <col min="9162" max="9164" width="20.28515625" style="220" customWidth="1"/>
    <col min="9165" max="9165" width="20.28515625" style="220" bestFit="1" customWidth="1"/>
    <col min="9166" max="9166" width="15.42578125" style="220" customWidth="1"/>
    <col min="9167" max="9167" width="20.28515625" style="220" bestFit="1" customWidth="1"/>
    <col min="9168" max="9170" width="20.28515625" style="220" customWidth="1"/>
    <col min="9171" max="9171" width="20.28515625" style="220" bestFit="1" customWidth="1"/>
    <col min="9172" max="9172" width="15.42578125" style="220" customWidth="1"/>
    <col min="9173" max="9173" width="20.7109375" style="220" bestFit="1" customWidth="1"/>
    <col min="9174" max="9176" width="20.7109375" style="220" customWidth="1"/>
    <col min="9177" max="9177" width="20.7109375" style="220" bestFit="1" customWidth="1"/>
    <col min="9178" max="9178" width="12.140625" style="220" customWidth="1"/>
    <col min="9179" max="9407" width="8.7109375" style="220" customWidth="1"/>
    <col min="9408" max="9408" width="7.28515625" style="220" customWidth="1"/>
    <col min="9409" max="9409" width="18.28515625" style="220" customWidth="1"/>
    <col min="9410" max="9410" width="23.42578125" style="220" bestFit="1" customWidth="1"/>
    <col min="9411" max="9412" width="10.140625" style="220" bestFit="1" customWidth="1"/>
    <col min="9413" max="9415" width="10.140625" style="220" customWidth="1"/>
    <col min="9416" max="9416" width="16.28515625" style="220" customWidth="1"/>
    <col min="9417" max="9417" width="20.28515625" style="220" bestFit="1" customWidth="1"/>
    <col min="9418" max="9420" width="20.28515625" style="220" customWidth="1"/>
    <col min="9421" max="9421" width="20.28515625" style="220" bestFit="1" customWidth="1"/>
    <col min="9422" max="9422" width="15.42578125" style="220" customWidth="1"/>
    <col min="9423" max="9423" width="20.28515625" style="220" bestFit="1" customWidth="1"/>
    <col min="9424" max="9426" width="20.28515625" style="220" customWidth="1"/>
    <col min="9427" max="9427" width="20.28515625" style="220" bestFit="1" customWidth="1"/>
    <col min="9428" max="9428" width="15.42578125" style="220" customWidth="1"/>
    <col min="9429" max="9429" width="20.7109375" style="220" bestFit="1" customWidth="1"/>
    <col min="9430" max="9432" width="20.7109375" style="220" customWidth="1"/>
    <col min="9433" max="9433" width="20.7109375" style="220" bestFit="1" customWidth="1"/>
    <col min="9434" max="9434" width="12.140625" style="220" customWidth="1"/>
    <col min="9435" max="9663" width="8.7109375" style="220" customWidth="1"/>
    <col min="9664" max="9664" width="7.28515625" style="220" customWidth="1"/>
    <col min="9665" max="9665" width="18.28515625" style="220" customWidth="1"/>
    <col min="9666" max="9666" width="23.42578125" style="220" bestFit="1" customWidth="1"/>
    <col min="9667" max="9668" width="10.140625" style="220" bestFit="1" customWidth="1"/>
    <col min="9669" max="9671" width="10.140625" style="220" customWidth="1"/>
    <col min="9672" max="9672" width="16.28515625" style="220" customWidth="1"/>
    <col min="9673" max="9673" width="20.28515625" style="220" bestFit="1" customWidth="1"/>
    <col min="9674" max="9676" width="20.28515625" style="220" customWidth="1"/>
    <col min="9677" max="9677" width="20.28515625" style="220" bestFit="1" customWidth="1"/>
    <col min="9678" max="9678" width="15.42578125" style="220" customWidth="1"/>
    <col min="9679" max="9679" width="20.28515625" style="220" bestFit="1" customWidth="1"/>
    <col min="9680" max="9682" width="20.28515625" style="220" customWidth="1"/>
    <col min="9683" max="9683" width="20.28515625" style="220" bestFit="1" customWidth="1"/>
    <col min="9684" max="9684" width="15.42578125" style="220" customWidth="1"/>
    <col min="9685" max="9685" width="20.7109375" style="220" bestFit="1" customWidth="1"/>
    <col min="9686" max="9688" width="20.7109375" style="220" customWidth="1"/>
    <col min="9689" max="9689" width="20.7109375" style="220" bestFit="1" customWidth="1"/>
    <col min="9690" max="9690" width="12.140625" style="220" customWidth="1"/>
    <col min="9691" max="9919" width="8.7109375" style="220" customWidth="1"/>
    <col min="9920" max="9920" width="7.28515625" style="220" customWidth="1"/>
    <col min="9921" max="9921" width="18.28515625" style="220" customWidth="1"/>
    <col min="9922" max="9922" width="23.42578125" style="220" bestFit="1" customWidth="1"/>
    <col min="9923" max="9924" width="10.140625" style="220" bestFit="1" customWidth="1"/>
    <col min="9925" max="9927" width="10.140625" style="220" customWidth="1"/>
    <col min="9928" max="9928" width="16.28515625" style="220" customWidth="1"/>
    <col min="9929" max="9929" width="20.28515625" style="220" bestFit="1" customWidth="1"/>
    <col min="9930" max="9932" width="20.28515625" style="220" customWidth="1"/>
    <col min="9933" max="9933" width="20.28515625" style="220" bestFit="1" customWidth="1"/>
    <col min="9934" max="9934" width="15.42578125" style="220" customWidth="1"/>
    <col min="9935" max="9935" width="20.28515625" style="220" bestFit="1" customWidth="1"/>
    <col min="9936" max="9938" width="20.28515625" style="220" customWidth="1"/>
    <col min="9939" max="9939" width="20.28515625" style="220" bestFit="1" customWidth="1"/>
    <col min="9940" max="9940" width="15.42578125" style="220" customWidth="1"/>
    <col min="9941" max="9941" width="20.7109375" style="220" bestFit="1" customWidth="1"/>
    <col min="9942" max="9944" width="20.7109375" style="220" customWidth="1"/>
    <col min="9945" max="9945" width="20.7109375" style="220" bestFit="1" customWidth="1"/>
    <col min="9946" max="9946" width="12.140625" style="220" customWidth="1"/>
    <col min="9947" max="10175" width="8.7109375" style="220" customWidth="1"/>
    <col min="10176" max="10176" width="7.28515625" style="220" customWidth="1"/>
    <col min="10177" max="10177" width="18.28515625" style="220" customWidth="1"/>
    <col min="10178" max="10178" width="23.42578125" style="220" bestFit="1" customWidth="1"/>
    <col min="10179" max="10180" width="10.140625" style="220" bestFit="1" customWidth="1"/>
    <col min="10181" max="10183" width="10.140625" style="220" customWidth="1"/>
    <col min="10184" max="10184" width="16.28515625" style="220" customWidth="1"/>
    <col min="10185" max="10185" width="20.28515625" style="220" bestFit="1" customWidth="1"/>
    <col min="10186" max="10188" width="20.28515625" style="220" customWidth="1"/>
    <col min="10189" max="10189" width="20.28515625" style="220" bestFit="1" customWidth="1"/>
    <col min="10190" max="10190" width="15.42578125" style="220" customWidth="1"/>
    <col min="10191" max="10191" width="20.28515625" style="220" bestFit="1" customWidth="1"/>
    <col min="10192" max="10194" width="20.28515625" style="220" customWidth="1"/>
    <col min="10195" max="10195" width="20.28515625" style="220" bestFit="1" customWidth="1"/>
    <col min="10196" max="10196" width="15.42578125" style="220" customWidth="1"/>
    <col min="10197" max="10197" width="20.7109375" style="220" bestFit="1" customWidth="1"/>
    <col min="10198" max="10200" width="20.7109375" style="220" customWidth="1"/>
    <col min="10201" max="10201" width="20.7109375" style="220" bestFit="1" customWidth="1"/>
    <col min="10202" max="10202" width="12.140625" style="220" customWidth="1"/>
    <col min="10203" max="10431" width="8.7109375" style="220" customWidth="1"/>
    <col min="10432" max="10432" width="7.28515625" style="220" customWidth="1"/>
    <col min="10433" max="10433" width="18.28515625" style="220" customWidth="1"/>
    <col min="10434" max="10434" width="23.42578125" style="220" bestFit="1" customWidth="1"/>
    <col min="10435" max="10436" width="10.140625" style="220" bestFit="1" customWidth="1"/>
    <col min="10437" max="10439" width="10.140625" style="220" customWidth="1"/>
    <col min="10440" max="10440" width="16.28515625" style="220" customWidth="1"/>
    <col min="10441" max="10441" width="20.28515625" style="220" bestFit="1" customWidth="1"/>
    <col min="10442" max="10444" width="20.28515625" style="220" customWidth="1"/>
    <col min="10445" max="10445" width="20.28515625" style="220" bestFit="1" customWidth="1"/>
    <col min="10446" max="10446" width="15.42578125" style="220" customWidth="1"/>
    <col min="10447" max="10447" width="20.28515625" style="220" bestFit="1" customWidth="1"/>
    <col min="10448" max="10450" width="20.28515625" style="220" customWidth="1"/>
    <col min="10451" max="10451" width="20.28515625" style="220" bestFit="1" customWidth="1"/>
    <col min="10452" max="10452" width="15.42578125" style="220" customWidth="1"/>
    <col min="10453" max="10453" width="20.7109375" style="220" bestFit="1" customWidth="1"/>
    <col min="10454" max="10456" width="20.7109375" style="220" customWidth="1"/>
    <col min="10457" max="10457" width="20.7109375" style="220" bestFit="1" customWidth="1"/>
    <col min="10458" max="10458" width="12.140625" style="220" customWidth="1"/>
    <col min="10459" max="10687" width="8.7109375" style="220" customWidth="1"/>
    <col min="10688" max="10688" width="7.28515625" style="220" customWidth="1"/>
    <col min="10689" max="10689" width="18.28515625" style="220" customWidth="1"/>
    <col min="10690" max="10690" width="23.42578125" style="220" bestFit="1" customWidth="1"/>
    <col min="10691" max="10692" width="10.140625" style="220" bestFit="1" customWidth="1"/>
    <col min="10693" max="10695" width="10.140625" style="220" customWidth="1"/>
    <col min="10696" max="10696" width="16.28515625" style="220" customWidth="1"/>
    <col min="10697" max="10697" width="20.28515625" style="220" bestFit="1" customWidth="1"/>
    <col min="10698" max="10700" width="20.28515625" style="220" customWidth="1"/>
    <col min="10701" max="10701" width="20.28515625" style="220" bestFit="1" customWidth="1"/>
    <col min="10702" max="10702" width="15.42578125" style="220" customWidth="1"/>
    <col min="10703" max="10703" width="20.28515625" style="220" bestFit="1" customWidth="1"/>
    <col min="10704" max="10706" width="20.28515625" style="220" customWidth="1"/>
    <col min="10707" max="10707" width="20.28515625" style="220" bestFit="1" customWidth="1"/>
    <col min="10708" max="10708" width="15.42578125" style="220" customWidth="1"/>
    <col min="10709" max="10709" width="20.7109375" style="220" bestFit="1" customWidth="1"/>
    <col min="10710" max="10712" width="20.7109375" style="220" customWidth="1"/>
    <col min="10713" max="10713" width="20.7109375" style="220" bestFit="1" customWidth="1"/>
    <col min="10714" max="10714" width="12.140625" style="220" customWidth="1"/>
    <col min="10715" max="10943" width="8.7109375" style="220" customWidth="1"/>
    <col min="10944" max="10944" width="7.28515625" style="220" customWidth="1"/>
    <col min="10945" max="10945" width="18.28515625" style="220" customWidth="1"/>
    <col min="10946" max="10946" width="23.42578125" style="220" bestFit="1" customWidth="1"/>
    <col min="10947" max="10948" width="10.140625" style="220" bestFit="1" customWidth="1"/>
    <col min="10949" max="10951" width="10.140625" style="220" customWidth="1"/>
    <col min="10952" max="10952" width="16.28515625" style="220" customWidth="1"/>
    <col min="10953" max="10953" width="20.28515625" style="220" bestFit="1" customWidth="1"/>
    <col min="10954" max="10956" width="20.28515625" style="220" customWidth="1"/>
    <col min="10957" max="10957" width="20.28515625" style="220" bestFit="1" customWidth="1"/>
    <col min="10958" max="10958" width="15.42578125" style="220" customWidth="1"/>
    <col min="10959" max="10959" width="20.28515625" style="220" bestFit="1" customWidth="1"/>
    <col min="10960" max="10962" width="20.28515625" style="220" customWidth="1"/>
    <col min="10963" max="10963" width="20.28515625" style="220" bestFit="1" customWidth="1"/>
    <col min="10964" max="10964" width="15.42578125" style="220" customWidth="1"/>
    <col min="10965" max="10965" width="20.7109375" style="220" bestFit="1" customWidth="1"/>
    <col min="10966" max="10968" width="20.7109375" style="220" customWidth="1"/>
    <col min="10969" max="10969" width="20.7109375" style="220" bestFit="1" customWidth="1"/>
    <col min="10970" max="10970" width="12.140625" style="220" customWidth="1"/>
    <col min="10971" max="11199" width="8.7109375" style="220" customWidth="1"/>
    <col min="11200" max="11200" width="7.28515625" style="220" customWidth="1"/>
    <col min="11201" max="11201" width="18.28515625" style="220" customWidth="1"/>
    <col min="11202" max="11202" width="23.42578125" style="220" bestFit="1" customWidth="1"/>
    <col min="11203" max="11204" width="10.140625" style="220" bestFit="1" customWidth="1"/>
    <col min="11205" max="11207" width="10.140625" style="220" customWidth="1"/>
    <col min="11208" max="11208" width="16.28515625" style="220" customWidth="1"/>
    <col min="11209" max="11209" width="20.28515625" style="220" bestFit="1" customWidth="1"/>
    <col min="11210" max="11212" width="20.28515625" style="220" customWidth="1"/>
    <col min="11213" max="11213" width="20.28515625" style="220" bestFit="1" customWidth="1"/>
    <col min="11214" max="11214" width="15.42578125" style="220" customWidth="1"/>
    <col min="11215" max="11215" width="20.28515625" style="220" bestFit="1" customWidth="1"/>
    <col min="11216" max="11218" width="20.28515625" style="220" customWidth="1"/>
    <col min="11219" max="11219" width="20.28515625" style="220" bestFit="1" customWidth="1"/>
    <col min="11220" max="11220" width="15.42578125" style="220" customWidth="1"/>
    <col min="11221" max="11221" width="20.7109375" style="220" bestFit="1" customWidth="1"/>
    <col min="11222" max="11224" width="20.7109375" style="220" customWidth="1"/>
    <col min="11225" max="11225" width="20.7109375" style="220" bestFit="1" customWidth="1"/>
    <col min="11226" max="11226" width="12.140625" style="220" customWidth="1"/>
    <col min="11227" max="11455" width="8.7109375" style="220" customWidth="1"/>
    <col min="11456" max="11456" width="7.28515625" style="220" customWidth="1"/>
    <col min="11457" max="11457" width="18.28515625" style="220" customWidth="1"/>
    <col min="11458" max="11458" width="23.42578125" style="220" bestFit="1" customWidth="1"/>
    <col min="11459" max="11460" width="10.140625" style="220" bestFit="1" customWidth="1"/>
    <col min="11461" max="11463" width="10.140625" style="220" customWidth="1"/>
    <col min="11464" max="11464" width="16.28515625" style="220" customWidth="1"/>
    <col min="11465" max="11465" width="20.28515625" style="220" bestFit="1" customWidth="1"/>
    <col min="11466" max="11468" width="20.28515625" style="220" customWidth="1"/>
    <col min="11469" max="11469" width="20.28515625" style="220" bestFit="1" customWidth="1"/>
    <col min="11470" max="11470" width="15.42578125" style="220" customWidth="1"/>
    <col min="11471" max="11471" width="20.28515625" style="220" bestFit="1" customWidth="1"/>
    <col min="11472" max="11474" width="20.28515625" style="220" customWidth="1"/>
    <col min="11475" max="11475" width="20.28515625" style="220" bestFit="1" customWidth="1"/>
    <col min="11476" max="11476" width="15.42578125" style="220" customWidth="1"/>
    <col min="11477" max="11477" width="20.7109375" style="220" bestFit="1" customWidth="1"/>
    <col min="11478" max="11480" width="20.7109375" style="220" customWidth="1"/>
    <col min="11481" max="11481" width="20.7109375" style="220" bestFit="1" customWidth="1"/>
    <col min="11482" max="11482" width="12.140625" style="220" customWidth="1"/>
    <col min="11483" max="11711" width="8.7109375" style="220" customWidth="1"/>
    <col min="11712" max="11712" width="7.28515625" style="220" customWidth="1"/>
    <col min="11713" max="11713" width="18.28515625" style="220" customWidth="1"/>
    <col min="11714" max="11714" width="23.42578125" style="220" bestFit="1" customWidth="1"/>
    <col min="11715" max="11716" width="10.140625" style="220" bestFit="1" customWidth="1"/>
    <col min="11717" max="11719" width="10.140625" style="220" customWidth="1"/>
    <col min="11720" max="11720" width="16.28515625" style="220" customWidth="1"/>
    <col min="11721" max="11721" width="20.28515625" style="220" bestFit="1" customWidth="1"/>
    <col min="11722" max="11724" width="20.28515625" style="220" customWidth="1"/>
    <col min="11725" max="11725" width="20.28515625" style="220" bestFit="1" customWidth="1"/>
    <col min="11726" max="11726" width="15.42578125" style="220" customWidth="1"/>
    <col min="11727" max="11727" width="20.28515625" style="220" bestFit="1" customWidth="1"/>
    <col min="11728" max="11730" width="20.28515625" style="220" customWidth="1"/>
    <col min="11731" max="11731" width="20.28515625" style="220" bestFit="1" customWidth="1"/>
    <col min="11732" max="11732" width="15.42578125" style="220" customWidth="1"/>
    <col min="11733" max="11733" width="20.7109375" style="220" bestFit="1" customWidth="1"/>
    <col min="11734" max="11736" width="20.7109375" style="220" customWidth="1"/>
    <col min="11737" max="11737" width="20.7109375" style="220" bestFit="1" customWidth="1"/>
    <col min="11738" max="11738" width="12.140625" style="220" customWidth="1"/>
    <col min="11739" max="11967" width="8.7109375" style="220" customWidth="1"/>
    <col min="11968" max="11968" width="7.28515625" style="220" customWidth="1"/>
    <col min="11969" max="11969" width="18.28515625" style="220" customWidth="1"/>
    <col min="11970" max="11970" width="23.42578125" style="220" bestFit="1" customWidth="1"/>
    <col min="11971" max="11972" width="10.140625" style="220" bestFit="1" customWidth="1"/>
    <col min="11973" max="11975" width="10.140625" style="220" customWidth="1"/>
    <col min="11976" max="11976" width="16.28515625" style="220" customWidth="1"/>
    <col min="11977" max="11977" width="20.28515625" style="220" bestFit="1" customWidth="1"/>
    <col min="11978" max="11980" width="20.28515625" style="220" customWidth="1"/>
    <col min="11981" max="11981" width="20.28515625" style="220" bestFit="1" customWidth="1"/>
    <col min="11982" max="11982" width="15.42578125" style="220" customWidth="1"/>
    <col min="11983" max="11983" width="20.28515625" style="220" bestFit="1" customWidth="1"/>
    <col min="11984" max="11986" width="20.28515625" style="220" customWidth="1"/>
    <col min="11987" max="11987" width="20.28515625" style="220" bestFit="1" customWidth="1"/>
    <col min="11988" max="11988" width="15.42578125" style="220" customWidth="1"/>
    <col min="11989" max="11989" width="20.7109375" style="220" bestFit="1" customWidth="1"/>
    <col min="11990" max="11992" width="20.7109375" style="220" customWidth="1"/>
    <col min="11993" max="11993" width="20.7109375" style="220" bestFit="1" customWidth="1"/>
    <col min="11994" max="11994" width="12.140625" style="220" customWidth="1"/>
    <col min="11995" max="12223" width="8.7109375" style="220" customWidth="1"/>
    <col min="12224" max="12224" width="7.28515625" style="220" customWidth="1"/>
    <col min="12225" max="12225" width="18.28515625" style="220" customWidth="1"/>
    <col min="12226" max="12226" width="23.42578125" style="220" bestFit="1" customWidth="1"/>
    <col min="12227" max="12228" width="10.140625" style="220" bestFit="1" customWidth="1"/>
    <col min="12229" max="12231" width="10.140625" style="220" customWidth="1"/>
    <col min="12232" max="12232" width="16.28515625" style="220" customWidth="1"/>
    <col min="12233" max="12233" width="20.28515625" style="220" bestFit="1" customWidth="1"/>
    <col min="12234" max="12236" width="20.28515625" style="220" customWidth="1"/>
    <col min="12237" max="12237" width="20.28515625" style="220" bestFit="1" customWidth="1"/>
    <col min="12238" max="12238" width="15.42578125" style="220" customWidth="1"/>
    <col min="12239" max="12239" width="20.28515625" style="220" bestFit="1" customWidth="1"/>
    <col min="12240" max="12242" width="20.28515625" style="220" customWidth="1"/>
    <col min="12243" max="12243" width="20.28515625" style="220" bestFit="1" customWidth="1"/>
    <col min="12244" max="12244" width="15.42578125" style="220" customWidth="1"/>
    <col min="12245" max="12245" width="20.7109375" style="220" bestFit="1" customWidth="1"/>
    <col min="12246" max="12248" width="20.7109375" style="220" customWidth="1"/>
    <col min="12249" max="12249" width="20.7109375" style="220" bestFit="1" customWidth="1"/>
    <col min="12250" max="12250" width="12.140625" style="220" customWidth="1"/>
    <col min="12251" max="12479" width="8.7109375" style="220" customWidth="1"/>
    <col min="12480" max="12480" width="7.28515625" style="220" customWidth="1"/>
    <col min="12481" max="12481" width="18.28515625" style="220" customWidth="1"/>
    <col min="12482" max="12482" width="23.42578125" style="220" bestFit="1" customWidth="1"/>
    <col min="12483" max="12484" width="10.140625" style="220" bestFit="1" customWidth="1"/>
    <col min="12485" max="12487" width="10.140625" style="220" customWidth="1"/>
    <col min="12488" max="12488" width="16.28515625" style="220" customWidth="1"/>
    <col min="12489" max="12489" width="20.28515625" style="220" bestFit="1" customWidth="1"/>
    <col min="12490" max="12492" width="20.28515625" style="220" customWidth="1"/>
    <col min="12493" max="12493" width="20.28515625" style="220" bestFit="1" customWidth="1"/>
    <col min="12494" max="12494" width="15.42578125" style="220" customWidth="1"/>
    <col min="12495" max="12495" width="20.28515625" style="220" bestFit="1" customWidth="1"/>
    <col min="12496" max="12498" width="20.28515625" style="220" customWidth="1"/>
    <col min="12499" max="12499" width="20.28515625" style="220" bestFit="1" customWidth="1"/>
    <col min="12500" max="12500" width="15.42578125" style="220" customWidth="1"/>
    <col min="12501" max="12501" width="20.7109375" style="220" bestFit="1" customWidth="1"/>
    <col min="12502" max="12504" width="20.7109375" style="220" customWidth="1"/>
    <col min="12505" max="12505" width="20.7109375" style="220" bestFit="1" customWidth="1"/>
    <col min="12506" max="12506" width="12.140625" style="220" customWidth="1"/>
    <col min="12507" max="12735" width="8.7109375" style="220" customWidth="1"/>
    <col min="12736" max="12736" width="7.28515625" style="220" customWidth="1"/>
    <col min="12737" max="12737" width="18.28515625" style="220" customWidth="1"/>
    <col min="12738" max="12738" width="23.42578125" style="220" bestFit="1" customWidth="1"/>
    <col min="12739" max="12740" width="10.140625" style="220" bestFit="1" customWidth="1"/>
    <col min="12741" max="12743" width="10.140625" style="220" customWidth="1"/>
    <col min="12744" max="12744" width="16.28515625" style="220" customWidth="1"/>
    <col min="12745" max="12745" width="20.28515625" style="220" bestFit="1" customWidth="1"/>
    <col min="12746" max="12748" width="20.28515625" style="220" customWidth="1"/>
    <col min="12749" max="12749" width="20.28515625" style="220" bestFit="1" customWidth="1"/>
    <col min="12750" max="12750" width="15.42578125" style="220" customWidth="1"/>
    <col min="12751" max="12751" width="20.28515625" style="220" bestFit="1" customWidth="1"/>
    <col min="12752" max="12754" width="20.28515625" style="220" customWidth="1"/>
    <col min="12755" max="12755" width="20.28515625" style="220" bestFit="1" customWidth="1"/>
    <col min="12756" max="12756" width="15.42578125" style="220" customWidth="1"/>
    <col min="12757" max="12757" width="20.7109375" style="220" bestFit="1" customWidth="1"/>
    <col min="12758" max="12760" width="20.7109375" style="220" customWidth="1"/>
    <col min="12761" max="12761" width="20.7109375" style="220" bestFit="1" customWidth="1"/>
    <col min="12762" max="12762" width="12.140625" style="220" customWidth="1"/>
    <col min="12763" max="12991" width="8.7109375" style="220" customWidth="1"/>
    <col min="12992" max="12992" width="7.28515625" style="220" customWidth="1"/>
    <col min="12993" max="12993" width="18.28515625" style="220" customWidth="1"/>
    <col min="12994" max="12994" width="23.42578125" style="220" bestFit="1" customWidth="1"/>
    <col min="12995" max="12996" width="10.140625" style="220" bestFit="1" customWidth="1"/>
    <col min="12997" max="12999" width="10.140625" style="220" customWidth="1"/>
    <col min="13000" max="13000" width="16.28515625" style="220" customWidth="1"/>
    <col min="13001" max="13001" width="20.28515625" style="220" bestFit="1" customWidth="1"/>
    <col min="13002" max="13004" width="20.28515625" style="220" customWidth="1"/>
    <col min="13005" max="13005" width="20.28515625" style="220" bestFit="1" customWidth="1"/>
    <col min="13006" max="13006" width="15.42578125" style="220" customWidth="1"/>
    <col min="13007" max="13007" width="20.28515625" style="220" bestFit="1" customWidth="1"/>
    <col min="13008" max="13010" width="20.28515625" style="220" customWidth="1"/>
    <col min="13011" max="13011" width="20.28515625" style="220" bestFit="1" customWidth="1"/>
    <col min="13012" max="13012" width="15.42578125" style="220" customWidth="1"/>
    <col min="13013" max="13013" width="20.7109375" style="220" bestFit="1" customWidth="1"/>
    <col min="13014" max="13016" width="20.7109375" style="220" customWidth="1"/>
    <col min="13017" max="13017" width="20.7109375" style="220" bestFit="1" customWidth="1"/>
    <col min="13018" max="13018" width="12.140625" style="220" customWidth="1"/>
    <col min="13019" max="13247" width="8.7109375" style="220" customWidth="1"/>
    <col min="13248" max="13248" width="7.28515625" style="220" customWidth="1"/>
    <col min="13249" max="13249" width="18.28515625" style="220" customWidth="1"/>
    <col min="13250" max="13250" width="23.42578125" style="220" bestFit="1" customWidth="1"/>
    <col min="13251" max="13252" width="10.140625" style="220" bestFit="1" customWidth="1"/>
    <col min="13253" max="13255" width="10.140625" style="220" customWidth="1"/>
    <col min="13256" max="13256" width="16.28515625" style="220" customWidth="1"/>
    <col min="13257" max="13257" width="20.28515625" style="220" bestFit="1" customWidth="1"/>
    <col min="13258" max="13260" width="20.28515625" style="220" customWidth="1"/>
    <col min="13261" max="13261" width="20.28515625" style="220" bestFit="1" customWidth="1"/>
    <col min="13262" max="13262" width="15.42578125" style="220" customWidth="1"/>
    <col min="13263" max="13263" width="20.28515625" style="220" bestFit="1" customWidth="1"/>
    <col min="13264" max="13266" width="20.28515625" style="220" customWidth="1"/>
    <col min="13267" max="13267" width="20.28515625" style="220" bestFit="1" customWidth="1"/>
    <col min="13268" max="13268" width="15.42578125" style="220" customWidth="1"/>
    <col min="13269" max="13269" width="20.7109375" style="220" bestFit="1" customWidth="1"/>
    <col min="13270" max="13272" width="20.7109375" style="220" customWidth="1"/>
    <col min="13273" max="13273" width="20.7109375" style="220" bestFit="1" customWidth="1"/>
    <col min="13274" max="13274" width="12.140625" style="220" customWidth="1"/>
    <col min="13275" max="13503" width="8.7109375" style="220" customWidth="1"/>
    <col min="13504" max="13504" width="7.28515625" style="220" customWidth="1"/>
    <col min="13505" max="13505" width="18.28515625" style="220" customWidth="1"/>
    <col min="13506" max="13506" width="23.42578125" style="220" bestFit="1" customWidth="1"/>
    <col min="13507" max="13508" width="10.140625" style="220" bestFit="1" customWidth="1"/>
    <col min="13509" max="13511" width="10.140625" style="220" customWidth="1"/>
    <col min="13512" max="13512" width="16.28515625" style="220" customWidth="1"/>
    <col min="13513" max="13513" width="20.28515625" style="220" bestFit="1" customWidth="1"/>
    <col min="13514" max="13516" width="20.28515625" style="220" customWidth="1"/>
    <col min="13517" max="13517" width="20.28515625" style="220" bestFit="1" customWidth="1"/>
    <col min="13518" max="13518" width="15.42578125" style="220" customWidth="1"/>
    <col min="13519" max="13519" width="20.28515625" style="220" bestFit="1" customWidth="1"/>
    <col min="13520" max="13522" width="20.28515625" style="220" customWidth="1"/>
    <col min="13523" max="13523" width="20.28515625" style="220" bestFit="1" customWidth="1"/>
    <col min="13524" max="13524" width="15.42578125" style="220" customWidth="1"/>
    <col min="13525" max="13525" width="20.7109375" style="220" bestFit="1" customWidth="1"/>
    <col min="13526" max="13528" width="20.7109375" style="220" customWidth="1"/>
    <col min="13529" max="13529" width="20.7109375" style="220" bestFit="1" customWidth="1"/>
    <col min="13530" max="13530" width="12.140625" style="220" customWidth="1"/>
    <col min="13531" max="13759" width="8.7109375" style="220" customWidth="1"/>
    <col min="13760" max="13760" width="7.28515625" style="220" customWidth="1"/>
    <col min="13761" max="13761" width="18.28515625" style="220" customWidth="1"/>
    <col min="13762" max="13762" width="23.42578125" style="220" bestFit="1" customWidth="1"/>
    <col min="13763" max="13764" width="10.140625" style="220" bestFit="1" customWidth="1"/>
    <col min="13765" max="13767" width="10.140625" style="220" customWidth="1"/>
    <col min="13768" max="13768" width="16.28515625" style="220" customWidth="1"/>
    <col min="13769" max="13769" width="20.28515625" style="220" bestFit="1" customWidth="1"/>
    <col min="13770" max="13772" width="20.28515625" style="220" customWidth="1"/>
    <col min="13773" max="13773" width="20.28515625" style="220" bestFit="1" customWidth="1"/>
    <col min="13774" max="13774" width="15.42578125" style="220" customWidth="1"/>
    <col min="13775" max="13775" width="20.28515625" style="220" bestFit="1" customWidth="1"/>
    <col min="13776" max="13778" width="20.28515625" style="220" customWidth="1"/>
    <col min="13779" max="13779" width="20.28515625" style="220" bestFit="1" customWidth="1"/>
    <col min="13780" max="13780" width="15.42578125" style="220" customWidth="1"/>
    <col min="13781" max="13781" width="20.7109375" style="220" bestFit="1" customWidth="1"/>
    <col min="13782" max="13784" width="20.7109375" style="220" customWidth="1"/>
    <col min="13785" max="13785" width="20.7109375" style="220" bestFit="1" customWidth="1"/>
    <col min="13786" max="13786" width="12.140625" style="220" customWidth="1"/>
    <col min="13787" max="14015" width="8.7109375" style="220" customWidth="1"/>
    <col min="14016" max="14016" width="7.28515625" style="220" customWidth="1"/>
    <col min="14017" max="14017" width="18.28515625" style="220" customWidth="1"/>
    <col min="14018" max="14018" width="23.42578125" style="220" bestFit="1" customWidth="1"/>
    <col min="14019" max="14020" width="10.140625" style="220" bestFit="1" customWidth="1"/>
    <col min="14021" max="14023" width="10.140625" style="220" customWidth="1"/>
    <col min="14024" max="14024" width="16.28515625" style="220" customWidth="1"/>
    <col min="14025" max="14025" width="20.28515625" style="220" bestFit="1" customWidth="1"/>
    <col min="14026" max="14028" width="20.28515625" style="220" customWidth="1"/>
    <col min="14029" max="14029" width="20.28515625" style="220" bestFit="1" customWidth="1"/>
    <col min="14030" max="14030" width="15.42578125" style="220" customWidth="1"/>
    <col min="14031" max="14031" width="20.28515625" style="220" bestFit="1" customWidth="1"/>
    <col min="14032" max="14034" width="20.28515625" style="220" customWidth="1"/>
    <col min="14035" max="14035" width="20.28515625" style="220" bestFit="1" customWidth="1"/>
    <col min="14036" max="14036" width="15.42578125" style="220" customWidth="1"/>
    <col min="14037" max="14037" width="20.7109375" style="220" bestFit="1" customWidth="1"/>
    <col min="14038" max="14040" width="20.7109375" style="220" customWidth="1"/>
    <col min="14041" max="14041" width="20.7109375" style="220" bestFit="1" customWidth="1"/>
    <col min="14042" max="14042" width="12.140625" style="220" customWidth="1"/>
    <col min="14043" max="14271" width="8.7109375" style="220" customWidth="1"/>
    <col min="14272" max="14272" width="7.28515625" style="220" customWidth="1"/>
    <col min="14273" max="14273" width="18.28515625" style="220" customWidth="1"/>
    <col min="14274" max="14274" width="23.42578125" style="220" bestFit="1" customWidth="1"/>
    <col min="14275" max="14276" width="10.140625" style="220" bestFit="1" customWidth="1"/>
    <col min="14277" max="14279" width="10.140625" style="220" customWidth="1"/>
    <col min="14280" max="14280" width="16.28515625" style="220" customWidth="1"/>
    <col min="14281" max="14281" width="20.28515625" style="220" bestFit="1" customWidth="1"/>
    <col min="14282" max="14284" width="20.28515625" style="220" customWidth="1"/>
    <col min="14285" max="14285" width="20.28515625" style="220" bestFit="1" customWidth="1"/>
    <col min="14286" max="14286" width="15.42578125" style="220" customWidth="1"/>
    <col min="14287" max="14287" width="20.28515625" style="220" bestFit="1" customWidth="1"/>
    <col min="14288" max="14290" width="20.28515625" style="220" customWidth="1"/>
    <col min="14291" max="14291" width="20.28515625" style="220" bestFit="1" customWidth="1"/>
    <col min="14292" max="14292" width="15.42578125" style="220" customWidth="1"/>
    <col min="14293" max="14293" width="20.7109375" style="220" bestFit="1" customWidth="1"/>
    <col min="14294" max="14296" width="20.7109375" style="220" customWidth="1"/>
    <col min="14297" max="14297" width="20.7109375" style="220" bestFit="1" customWidth="1"/>
    <col min="14298" max="14298" width="12.140625" style="220" customWidth="1"/>
    <col min="14299" max="14527" width="8.7109375" style="220" customWidth="1"/>
    <col min="14528" max="14528" width="7.28515625" style="220" customWidth="1"/>
    <col min="14529" max="14529" width="18.28515625" style="220" customWidth="1"/>
    <col min="14530" max="14530" width="23.42578125" style="220" bestFit="1" customWidth="1"/>
    <col min="14531" max="14532" width="10.140625" style="220" bestFit="1" customWidth="1"/>
    <col min="14533" max="14535" width="10.140625" style="220" customWidth="1"/>
    <col min="14536" max="14536" width="16.28515625" style="220" customWidth="1"/>
    <col min="14537" max="14537" width="20.28515625" style="220" bestFit="1" customWidth="1"/>
    <col min="14538" max="14540" width="20.28515625" style="220" customWidth="1"/>
    <col min="14541" max="14541" width="20.28515625" style="220" bestFit="1" customWidth="1"/>
    <col min="14542" max="14542" width="15.42578125" style="220" customWidth="1"/>
    <col min="14543" max="14543" width="20.28515625" style="220" bestFit="1" customWidth="1"/>
    <col min="14544" max="14546" width="20.28515625" style="220" customWidth="1"/>
    <col min="14547" max="14547" width="20.28515625" style="220" bestFit="1" customWidth="1"/>
    <col min="14548" max="14548" width="15.42578125" style="220" customWidth="1"/>
    <col min="14549" max="14549" width="20.7109375" style="220" bestFit="1" customWidth="1"/>
    <col min="14550" max="14552" width="20.7109375" style="220" customWidth="1"/>
    <col min="14553" max="14553" width="20.7109375" style="220" bestFit="1" customWidth="1"/>
    <col min="14554" max="14554" width="12.140625" style="220" customWidth="1"/>
    <col min="14555" max="14783" width="8.7109375" style="220" customWidth="1"/>
    <col min="14784" max="14784" width="7.28515625" style="220" customWidth="1"/>
    <col min="14785" max="14785" width="18.28515625" style="220" customWidth="1"/>
    <col min="14786" max="14786" width="23.42578125" style="220" bestFit="1" customWidth="1"/>
    <col min="14787" max="14788" width="10.140625" style="220" bestFit="1" customWidth="1"/>
    <col min="14789" max="14791" width="10.140625" style="220" customWidth="1"/>
    <col min="14792" max="14792" width="16.28515625" style="220" customWidth="1"/>
    <col min="14793" max="14793" width="20.28515625" style="220" bestFit="1" customWidth="1"/>
    <col min="14794" max="14796" width="20.28515625" style="220" customWidth="1"/>
    <col min="14797" max="14797" width="20.28515625" style="220" bestFit="1" customWidth="1"/>
    <col min="14798" max="14798" width="15.42578125" style="220" customWidth="1"/>
    <col min="14799" max="14799" width="20.28515625" style="220" bestFit="1" customWidth="1"/>
    <col min="14800" max="14802" width="20.28515625" style="220" customWidth="1"/>
    <col min="14803" max="14803" width="20.28515625" style="220" bestFit="1" customWidth="1"/>
    <col min="14804" max="14804" width="15.42578125" style="220" customWidth="1"/>
    <col min="14805" max="14805" width="20.7109375" style="220" bestFit="1" customWidth="1"/>
    <col min="14806" max="14808" width="20.7109375" style="220" customWidth="1"/>
    <col min="14809" max="14809" width="20.7109375" style="220" bestFit="1" customWidth="1"/>
    <col min="14810" max="14810" width="12.140625" style="220" customWidth="1"/>
    <col min="14811" max="15039" width="8.7109375" style="220" customWidth="1"/>
    <col min="15040" max="15040" width="7.28515625" style="220" customWidth="1"/>
    <col min="15041" max="15041" width="18.28515625" style="220" customWidth="1"/>
    <col min="15042" max="15042" width="23.42578125" style="220" bestFit="1" customWidth="1"/>
    <col min="15043" max="15044" width="10.140625" style="220" bestFit="1" customWidth="1"/>
    <col min="15045" max="15047" width="10.140625" style="220" customWidth="1"/>
    <col min="15048" max="15048" width="16.28515625" style="220" customWidth="1"/>
    <col min="15049" max="15049" width="20.28515625" style="220" bestFit="1" customWidth="1"/>
    <col min="15050" max="15052" width="20.28515625" style="220" customWidth="1"/>
    <col min="15053" max="15053" width="20.28515625" style="220" bestFit="1" customWidth="1"/>
    <col min="15054" max="15054" width="15.42578125" style="220" customWidth="1"/>
    <col min="15055" max="15055" width="20.28515625" style="220" bestFit="1" customWidth="1"/>
    <col min="15056" max="15058" width="20.28515625" style="220" customWidth="1"/>
    <col min="15059" max="15059" width="20.28515625" style="220" bestFit="1" customWidth="1"/>
    <col min="15060" max="15060" width="15.42578125" style="220" customWidth="1"/>
    <col min="15061" max="15061" width="20.7109375" style="220" bestFit="1" customWidth="1"/>
    <col min="15062" max="15064" width="20.7109375" style="220" customWidth="1"/>
    <col min="15065" max="15065" width="20.7109375" style="220" bestFit="1" customWidth="1"/>
    <col min="15066" max="15066" width="12.140625" style="220" customWidth="1"/>
    <col min="15067" max="15295" width="8.7109375" style="220" customWidth="1"/>
    <col min="15296" max="15296" width="7.28515625" style="220" customWidth="1"/>
    <col min="15297" max="15297" width="18.28515625" style="220" customWidth="1"/>
    <col min="15298" max="15298" width="23.42578125" style="220" bestFit="1" customWidth="1"/>
    <col min="15299" max="15300" width="10.140625" style="220" bestFit="1" customWidth="1"/>
    <col min="15301" max="15303" width="10.140625" style="220" customWidth="1"/>
    <col min="15304" max="15304" width="16.28515625" style="220" customWidth="1"/>
    <col min="15305" max="15305" width="20.28515625" style="220" bestFit="1" customWidth="1"/>
    <col min="15306" max="15308" width="20.28515625" style="220" customWidth="1"/>
    <col min="15309" max="15309" width="20.28515625" style="220" bestFit="1" customWidth="1"/>
    <col min="15310" max="15310" width="15.42578125" style="220" customWidth="1"/>
    <col min="15311" max="15311" width="20.28515625" style="220" bestFit="1" customWidth="1"/>
    <col min="15312" max="15314" width="20.28515625" style="220" customWidth="1"/>
    <col min="15315" max="15315" width="20.28515625" style="220" bestFit="1" customWidth="1"/>
    <col min="15316" max="15316" width="15.42578125" style="220" customWidth="1"/>
    <col min="15317" max="15317" width="20.7109375" style="220" bestFit="1" customWidth="1"/>
    <col min="15318" max="15320" width="20.7109375" style="220" customWidth="1"/>
    <col min="15321" max="15321" width="20.7109375" style="220" bestFit="1" customWidth="1"/>
    <col min="15322" max="15322" width="12.140625" style="220" customWidth="1"/>
    <col min="15323" max="15551" width="8.7109375" style="220" customWidth="1"/>
    <col min="15552" max="15552" width="7.28515625" style="220" customWidth="1"/>
    <col min="15553" max="15553" width="18.28515625" style="220" customWidth="1"/>
    <col min="15554" max="15554" width="23.42578125" style="220" bestFit="1" customWidth="1"/>
    <col min="15555" max="15556" width="10.140625" style="220" bestFit="1" customWidth="1"/>
    <col min="15557" max="15559" width="10.140625" style="220" customWidth="1"/>
    <col min="15560" max="15560" width="16.28515625" style="220" customWidth="1"/>
    <col min="15561" max="15561" width="20.28515625" style="220" bestFit="1" customWidth="1"/>
    <col min="15562" max="15564" width="20.28515625" style="220" customWidth="1"/>
    <col min="15565" max="15565" width="20.28515625" style="220" bestFit="1" customWidth="1"/>
    <col min="15566" max="15566" width="15.42578125" style="220" customWidth="1"/>
    <col min="15567" max="15567" width="20.28515625" style="220" bestFit="1" customWidth="1"/>
    <col min="15568" max="15570" width="20.28515625" style="220" customWidth="1"/>
    <col min="15571" max="15571" width="20.28515625" style="220" bestFit="1" customWidth="1"/>
    <col min="15572" max="15572" width="15.42578125" style="220" customWidth="1"/>
    <col min="15573" max="15573" width="20.7109375" style="220" bestFit="1" customWidth="1"/>
    <col min="15574" max="15576" width="20.7109375" style="220" customWidth="1"/>
    <col min="15577" max="15577" width="20.7109375" style="220" bestFit="1" customWidth="1"/>
    <col min="15578" max="15578" width="12.140625" style="220" customWidth="1"/>
    <col min="15579" max="15807" width="8.7109375" style="220" customWidth="1"/>
    <col min="15808" max="15808" width="7.28515625" style="220" customWidth="1"/>
    <col min="15809" max="15809" width="18.28515625" style="220" customWidth="1"/>
    <col min="15810" max="15810" width="23.42578125" style="220" bestFit="1" customWidth="1"/>
    <col min="15811" max="15812" width="10.140625" style="220" bestFit="1" customWidth="1"/>
    <col min="15813" max="15815" width="10.140625" style="220" customWidth="1"/>
    <col min="15816" max="15816" width="16.28515625" style="220" customWidth="1"/>
    <col min="15817" max="15817" width="20.28515625" style="220" bestFit="1" customWidth="1"/>
    <col min="15818" max="15820" width="20.28515625" style="220" customWidth="1"/>
    <col min="15821" max="15821" width="20.28515625" style="220" bestFit="1" customWidth="1"/>
    <col min="15822" max="15822" width="15.42578125" style="220" customWidth="1"/>
    <col min="15823" max="15823" width="20.28515625" style="220" bestFit="1" customWidth="1"/>
    <col min="15824" max="15826" width="20.28515625" style="220" customWidth="1"/>
    <col min="15827" max="15827" width="20.28515625" style="220" bestFit="1" customWidth="1"/>
    <col min="15828" max="15828" width="15.42578125" style="220" customWidth="1"/>
    <col min="15829" max="15829" width="20.7109375" style="220" bestFit="1" customWidth="1"/>
    <col min="15830" max="15832" width="20.7109375" style="220" customWidth="1"/>
    <col min="15833" max="15833" width="20.7109375" style="220" bestFit="1" customWidth="1"/>
    <col min="15834" max="15834" width="12.140625" style="220" customWidth="1"/>
    <col min="15835" max="16063" width="8.7109375" style="220" customWidth="1"/>
    <col min="16064" max="16064" width="7.28515625" style="220" customWidth="1"/>
    <col min="16065" max="16065" width="18.28515625" style="220" customWidth="1"/>
    <col min="16066" max="16066" width="23.42578125" style="220" bestFit="1" customWidth="1"/>
    <col min="16067" max="16068" width="10.140625" style="220" bestFit="1" customWidth="1"/>
    <col min="16069" max="16071" width="10.140625" style="220" customWidth="1"/>
    <col min="16072" max="16072" width="16.28515625" style="220" customWidth="1"/>
    <col min="16073" max="16073" width="20.28515625" style="220" bestFit="1" customWidth="1"/>
    <col min="16074" max="16076" width="20.28515625" style="220" customWidth="1"/>
    <col min="16077" max="16077" width="20.28515625" style="220" bestFit="1" customWidth="1"/>
    <col min="16078" max="16078" width="15.42578125" style="220" customWidth="1"/>
    <col min="16079" max="16079" width="20.28515625" style="220" bestFit="1" customWidth="1"/>
    <col min="16080" max="16082" width="20.28515625" style="220" customWidth="1"/>
    <col min="16083" max="16083" width="20.28515625" style="220" bestFit="1" customWidth="1"/>
    <col min="16084" max="16084" width="15.42578125" style="220" customWidth="1"/>
    <col min="16085" max="16085" width="20.7109375" style="220" bestFit="1" customWidth="1"/>
    <col min="16086" max="16088" width="20.7109375" style="220" customWidth="1"/>
    <col min="16089" max="16089" width="20.7109375" style="220" bestFit="1" customWidth="1"/>
    <col min="16090" max="16090" width="12.140625" style="220" customWidth="1"/>
    <col min="16091" max="16384" width="8.7109375" style="220" customWidth="1"/>
  </cols>
  <sheetData>
    <row r="1" spans="1:17" s="194" customFormat="1"/>
    <row r="2" spans="1:17" s="194" customFormat="1" ht="13.5" thickBot="1"/>
    <row r="3" spans="1:17" s="194" customFormat="1" ht="13.5" thickBot="1">
      <c r="A3" s="338" t="s">
        <v>115</v>
      </c>
      <c r="B3" s="340" t="s">
        <v>314</v>
      </c>
      <c r="C3" s="342" t="s">
        <v>178</v>
      </c>
      <c r="D3" s="395" t="s">
        <v>343</v>
      </c>
      <c r="E3" s="396"/>
      <c r="F3" s="397"/>
      <c r="G3" s="391" t="s">
        <v>344</v>
      </c>
      <c r="H3" s="385"/>
      <c r="I3" s="385"/>
      <c r="J3" s="385"/>
      <c r="K3" s="391" t="s">
        <v>345</v>
      </c>
      <c r="L3" s="385"/>
      <c r="M3" s="386"/>
      <c r="N3" s="333" t="s">
        <v>346</v>
      </c>
      <c r="O3" s="333"/>
      <c r="P3" s="333"/>
      <c r="Q3" s="334"/>
    </row>
    <row r="4" spans="1:17" s="194" customFormat="1" ht="46.5" customHeight="1" thickBot="1">
      <c r="A4" s="339"/>
      <c r="B4" s="341"/>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180</v>
      </c>
      <c r="C5" s="200"/>
      <c r="D5" s="201"/>
      <c r="E5" s="202"/>
      <c r="F5" s="202"/>
      <c r="G5" s="202"/>
      <c r="H5" s="203"/>
      <c r="I5" s="204"/>
      <c r="J5" s="200"/>
      <c r="K5" s="205"/>
      <c r="L5" s="206"/>
      <c r="M5" s="206"/>
      <c r="N5" s="206"/>
      <c r="O5" s="206"/>
      <c r="P5" s="206"/>
      <c r="Q5" s="206"/>
    </row>
    <row r="6" spans="1:17" s="194" customFormat="1">
      <c r="A6" s="198">
        <v>2</v>
      </c>
      <c r="B6" s="199" t="s">
        <v>181</v>
      </c>
      <c r="C6" s="200"/>
      <c r="D6" s="201"/>
      <c r="E6" s="202"/>
      <c r="F6" s="202"/>
      <c r="G6" s="202"/>
      <c r="H6" s="203"/>
      <c r="I6" s="204"/>
      <c r="J6" s="200"/>
      <c r="K6" s="205"/>
      <c r="L6" s="206"/>
      <c r="M6" s="206"/>
      <c r="N6" s="206"/>
      <c r="O6" s="206"/>
      <c r="P6" s="206"/>
      <c r="Q6" s="206"/>
    </row>
    <row r="7" spans="1:17" s="194" customFormat="1">
      <c r="A7" s="198">
        <v>3</v>
      </c>
      <c r="B7" s="199" t="s">
        <v>182</v>
      </c>
      <c r="C7" s="200"/>
      <c r="D7" s="201"/>
      <c r="E7" s="202"/>
      <c r="F7" s="202"/>
      <c r="G7" s="202"/>
      <c r="H7" s="203"/>
      <c r="I7" s="204"/>
      <c r="J7" s="200"/>
      <c r="K7" s="205"/>
      <c r="L7" s="206"/>
      <c r="M7" s="206"/>
      <c r="N7" s="206"/>
      <c r="O7" s="206"/>
      <c r="P7" s="206"/>
      <c r="Q7" s="206"/>
    </row>
    <row r="8" spans="1:17" s="194" customFormat="1">
      <c r="A8" s="198">
        <v>4</v>
      </c>
      <c r="B8" s="199" t="s">
        <v>183</v>
      </c>
      <c r="C8" s="200"/>
      <c r="D8" s="201"/>
      <c r="E8" s="202"/>
      <c r="F8" s="202"/>
      <c r="G8" s="202"/>
      <c r="H8" s="203"/>
      <c r="I8" s="204"/>
      <c r="J8" s="200"/>
      <c r="K8" s="205"/>
      <c r="L8" s="206"/>
      <c r="M8" s="206"/>
      <c r="N8" s="206"/>
      <c r="O8" s="206"/>
      <c r="P8" s="206"/>
      <c r="Q8" s="206"/>
    </row>
    <row r="9" spans="1:17" s="194" customFormat="1">
      <c r="A9" s="207">
        <v>5</v>
      </c>
      <c r="B9" s="199" t="s">
        <v>184</v>
      </c>
      <c r="C9" s="200"/>
      <c r="D9" s="201"/>
      <c r="E9" s="202"/>
      <c r="F9" s="202"/>
      <c r="G9" s="202"/>
      <c r="H9" s="203"/>
      <c r="I9" s="204"/>
      <c r="J9" s="200"/>
      <c r="K9" s="205"/>
      <c r="L9" s="206"/>
      <c r="M9" s="206"/>
      <c r="N9" s="206"/>
      <c r="O9" s="206"/>
      <c r="P9" s="206"/>
      <c r="Q9" s="206"/>
    </row>
    <row r="10" spans="1:17" s="194" customFormat="1">
      <c r="A10" s="198">
        <v>6</v>
      </c>
      <c r="B10" s="199" t="s">
        <v>185</v>
      </c>
      <c r="C10" s="200"/>
      <c r="D10" s="201"/>
      <c r="E10" s="202"/>
      <c r="F10" s="202"/>
      <c r="G10" s="202"/>
      <c r="H10" s="203"/>
      <c r="I10" s="204"/>
      <c r="J10" s="200"/>
      <c r="K10" s="205"/>
      <c r="L10" s="206"/>
      <c r="M10" s="206"/>
      <c r="N10" s="206"/>
      <c r="O10" s="206"/>
      <c r="P10" s="206"/>
      <c r="Q10" s="206"/>
    </row>
    <row r="11" spans="1:17" s="194" customFormat="1">
      <c r="A11" s="198">
        <v>7</v>
      </c>
      <c r="B11" s="199" t="s">
        <v>186</v>
      </c>
      <c r="C11" s="200"/>
      <c r="D11" s="201"/>
      <c r="E11" s="202"/>
      <c r="F11" s="202"/>
      <c r="G11" s="202"/>
      <c r="H11" s="203"/>
      <c r="I11" s="204"/>
      <c r="J11" s="200"/>
      <c r="K11" s="205"/>
      <c r="L11" s="206"/>
      <c r="M11" s="206"/>
      <c r="N11" s="206"/>
      <c r="O11" s="206"/>
      <c r="P11" s="206"/>
      <c r="Q11" s="206"/>
    </row>
    <row r="12" spans="1:17" s="194" customFormat="1">
      <c r="A12" s="198">
        <v>8</v>
      </c>
      <c r="B12" s="199" t="s">
        <v>187</v>
      </c>
      <c r="C12" s="200"/>
      <c r="D12" s="201"/>
      <c r="E12" s="202"/>
      <c r="F12" s="202"/>
      <c r="G12" s="202"/>
      <c r="H12" s="203"/>
      <c r="I12" s="204"/>
      <c r="J12" s="200"/>
      <c r="K12" s="205"/>
      <c r="L12" s="206"/>
      <c r="M12" s="206"/>
      <c r="N12" s="206"/>
      <c r="O12" s="206"/>
      <c r="P12" s="206"/>
      <c r="Q12" s="206"/>
    </row>
    <row r="13" spans="1:17" s="194" customFormat="1">
      <c r="A13" s="198">
        <v>9</v>
      </c>
      <c r="B13" s="199" t="s">
        <v>188</v>
      </c>
      <c r="C13" s="200"/>
      <c r="D13" s="201"/>
      <c r="E13" s="202"/>
      <c r="F13" s="202"/>
      <c r="G13" s="202"/>
      <c r="H13" s="203"/>
      <c r="I13" s="204"/>
      <c r="J13" s="200"/>
      <c r="K13" s="205"/>
      <c r="L13" s="206"/>
      <c r="M13" s="206"/>
      <c r="N13" s="206"/>
      <c r="O13" s="206"/>
      <c r="P13" s="206"/>
      <c r="Q13" s="206"/>
    </row>
    <row r="14" spans="1:17" s="194" customFormat="1">
      <c r="A14" s="198">
        <v>10</v>
      </c>
      <c r="B14" s="199" t="s">
        <v>189</v>
      </c>
      <c r="C14" s="200"/>
      <c r="D14" s="201"/>
      <c r="E14" s="202"/>
      <c r="F14" s="202"/>
      <c r="G14" s="202"/>
      <c r="H14" s="203"/>
      <c r="I14" s="204"/>
      <c r="J14" s="200"/>
      <c r="K14" s="205"/>
      <c r="L14" s="206"/>
      <c r="M14" s="206"/>
      <c r="N14" s="206"/>
      <c r="O14" s="206"/>
      <c r="P14" s="206"/>
      <c r="Q14" s="206"/>
    </row>
    <row r="15" spans="1:17" s="194" customFormat="1">
      <c r="A15" s="198">
        <v>11</v>
      </c>
      <c r="B15" s="199" t="s">
        <v>193</v>
      </c>
      <c r="C15" s="200"/>
      <c r="D15" s="201"/>
      <c r="E15" s="202"/>
      <c r="F15" s="202"/>
      <c r="G15" s="202"/>
      <c r="H15" s="203"/>
      <c r="I15" s="204"/>
      <c r="J15" s="200"/>
      <c r="K15" s="205"/>
      <c r="L15" s="206"/>
      <c r="M15" s="206"/>
      <c r="N15" s="206"/>
      <c r="O15" s="206"/>
      <c r="P15" s="206"/>
      <c r="Q15" s="206"/>
    </row>
    <row r="16" spans="1:17" s="194" customFormat="1">
      <c r="A16" s="198">
        <v>12</v>
      </c>
      <c r="B16" s="199" t="s">
        <v>188</v>
      </c>
      <c r="C16" s="200"/>
      <c r="D16" s="201"/>
      <c r="E16" s="202"/>
      <c r="F16" s="202"/>
      <c r="G16" s="202"/>
      <c r="H16" s="203"/>
      <c r="I16" s="204"/>
      <c r="J16" s="200"/>
      <c r="K16" s="205"/>
      <c r="L16" s="206"/>
      <c r="M16" s="206"/>
      <c r="N16" s="206"/>
      <c r="O16" s="206"/>
      <c r="P16" s="206"/>
      <c r="Q16" s="206"/>
    </row>
    <row r="17" spans="1:17" s="194" customFormat="1">
      <c r="A17" s="243"/>
      <c r="B17" s="244" t="s">
        <v>179</v>
      </c>
      <c r="C17" s="245"/>
      <c r="D17" s="246"/>
      <c r="E17" s="247"/>
      <c r="F17" s="247"/>
      <c r="G17" s="247"/>
      <c r="H17" s="248"/>
      <c r="I17" s="249"/>
      <c r="J17" s="250"/>
      <c r="K17" s="251"/>
      <c r="L17" s="252"/>
      <c r="M17" s="252"/>
      <c r="N17" s="252"/>
      <c r="O17" s="252"/>
      <c r="P17" s="252"/>
      <c r="Q17" s="252"/>
    </row>
    <row r="18" spans="1:17" s="194" customFormat="1">
      <c r="A18" s="207">
        <v>13</v>
      </c>
      <c r="B18" s="209" t="s">
        <v>180</v>
      </c>
      <c r="C18" s="208"/>
      <c r="D18" s="201"/>
      <c r="E18" s="202"/>
      <c r="F18" s="202"/>
      <c r="G18" s="202"/>
      <c r="H18" s="203"/>
      <c r="I18" s="204"/>
      <c r="J18" s="200"/>
      <c r="K18" s="205"/>
      <c r="L18" s="206"/>
      <c r="M18" s="206"/>
      <c r="N18" s="206"/>
      <c r="O18" s="206"/>
      <c r="P18" s="206"/>
      <c r="Q18" s="206"/>
    </row>
    <row r="19" spans="1:17" s="194" customFormat="1">
      <c r="A19" s="207">
        <v>14</v>
      </c>
      <c r="B19" s="210" t="s">
        <v>181</v>
      </c>
      <c r="C19" s="208"/>
      <c r="D19" s="201"/>
      <c r="E19" s="202"/>
      <c r="F19" s="202"/>
      <c r="G19" s="202"/>
      <c r="H19" s="203"/>
      <c r="I19" s="204"/>
      <c r="J19" s="200"/>
      <c r="K19" s="205"/>
      <c r="L19" s="206"/>
      <c r="M19" s="206"/>
      <c r="N19" s="206"/>
      <c r="O19" s="206"/>
      <c r="P19" s="206"/>
      <c r="Q19" s="206"/>
    </row>
    <row r="20" spans="1:17" s="194" customFormat="1">
      <c r="A20" s="207">
        <v>15</v>
      </c>
      <c r="B20" s="199" t="s">
        <v>190</v>
      </c>
      <c r="C20" s="208"/>
      <c r="D20" s="201"/>
      <c r="E20" s="202"/>
      <c r="F20" s="202"/>
      <c r="G20" s="202"/>
      <c r="H20" s="203"/>
      <c r="I20" s="204"/>
      <c r="J20" s="200"/>
      <c r="K20" s="205"/>
      <c r="L20" s="206"/>
      <c r="M20" s="206"/>
      <c r="N20" s="206"/>
      <c r="O20" s="206"/>
      <c r="P20" s="206"/>
      <c r="Q20" s="206"/>
    </row>
    <row r="21" spans="1:17" s="194" customFormat="1">
      <c r="A21" s="207">
        <v>16</v>
      </c>
      <c r="B21" s="199" t="s">
        <v>191</v>
      </c>
      <c r="C21" s="208"/>
      <c r="D21" s="201"/>
      <c r="E21" s="202"/>
      <c r="F21" s="202"/>
      <c r="G21" s="202"/>
      <c r="H21" s="203"/>
      <c r="I21" s="204"/>
      <c r="J21" s="200"/>
      <c r="K21" s="205"/>
      <c r="L21" s="206"/>
      <c r="M21" s="206"/>
      <c r="N21" s="206"/>
      <c r="O21" s="206"/>
      <c r="P21" s="206"/>
      <c r="Q21" s="206"/>
    </row>
    <row r="22" spans="1:17" s="194" customFormat="1">
      <c r="A22" s="207">
        <v>17</v>
      </c>
      <c r="B22" s="199" t="s">
        <v>185</v>
      </c>
      <c r="C22" s="208"/>
      <c r="D22" s="201"/>
      <c r="E22" s="202"/>
      <c r="F22" s="202"/>
      <c r="G22" s="202"/>
      <c r="H22" s="203"/>
      <c r="I22" s="204"/>
      <c r="J22" s="200"/>
      <c r="K22" s="205"/>
      <c r="L22" s="206"/>
      <c r="M22" s="206"/>
      <c r="N22" s="206"/>
      <c r="O22" s="206"/>
      <c r="P22" s="206"/>
      <c r="Q22" s="206"/>
    </row>
    <row r="23" spans="1:17" s="194" customFormat="1">
      <c r="A23" s="207">
        <v>18</v>
      </c>
      <c r="B23" s="199" t="s">
        <v>192</v>
      </c>
      <c r="C23" s="208"/>
      <c r="D23" s="201"/>
      <c r="E23" s="202"/>
      <c r="F23" s="202"/>
      <c r="G23" s="202"/>
      <c r="H23" s="203"/>
      <c r="I23" s="204"/>
      <c r="J23" s="200"/>
      <c r="K23" s="205"/>
      <c r="L23" s="206"/>
      <c r="M23" s="206"/>
      <c r="N23" s="206"/>
      <c r="O23" s="206"/>
      <c r="P23" s="206"/>
      <c r="Q23" s="206"/>
    </row>
    <row r="24" spans="1:17" s="194" customFormat="1">
      <c r="A24" s="207">
        <v>19</v>
      </c>
      <c r="B24" s="199" t="s">
        <v>187</v>
      </c>
      <c r="C24" s="208"/>
      <c r="D24" s="201"/>
      <c r="E24" s="202"/>
      <c r="F24" s="202"/>
      <c r="G24" s="202"/>
      <c r="H24" s="203"/>
      <c r="I24" s="204"/>
      <c r="J24" s="200"/>
      <c r="K24" s="205"/>
      <c r="L24" s="206"/>
      <c r="M24" s="206"/>
      <c r="N24" s="206"/>
      <c r="O24" s="206"/>
      <c r="P24" s="206"/>
      <c r="Q24" s="206"/>
    </row>
    <row r="25" spans="1:17" s="194" customFormat="1">
      <c r="A25" s="207">
        <v>20</v>
      </c>
      <c r="B25" s="199" t="s">
        <v>194</v>
      </c>
      <c r="C25" s="208"/>
      <c r="D25" s="201"/>
      <c r="E25" s="202"/>
      <c r="F25" s="202"/>
      <c r="G25" s="202"/>
      <c r="H25" s="203"/>
      <c r="I25" s="204"/>
      <c r="J25" s="200"/>
      <c r="K25" s="205"/>
      <c r="L25" s="206"/>
      <c r="M25" s="206"/>
      <c r="N25" s="206"/>
      <c r="O25" s="206"/>
      <c r="P25" s="206"/>
      <c r="Q25" s="206"/>
    </row>
    <row r="26" spans="1:17" s="194" customFormat="1">
      <c r="A26" s="207">
        <v>21</v>
      </c>
      <c r="B26" s="199" t="s">
        <v>195</v>
      </c>
      <c r="C26" s="208"/>
      <c r="D26" s="201"/>
      <c r="E26" s="202"/>
      <c r="F26" s="202"/>
      <c r="G26" s="202"/>
      <c r="H26" s="203"/>
      <c r="I26" s="204"/>
      <c r="J26" s="200"/>
      <c r="K26" s="205"/>
      <c r="L26" s="206"/>
      <c r="M26" s="206"/>
      <c r="N26" s="206"/>
      <c r="O26" s="206"/>
      <c r="P26" s="206"/>
      <c r="Q26" s="206"/>
    </row>
    <row r="27" spans="1:17" s="194" customFormat="1">
      <c r="A27" s="207">
        <v>22</v>
      </c>
      <c r="B27" s="199" t="s">
        <v>196</v>
      </c>
      <c r="C27" s="208"/>
      <c r="D27" s="201"/>
      <c r="E27" s="202"/>
      <c r="F27" s="202"/>
      <c r="G27" s="202"/>
      <c r="H27" s="203"/>
      <c r="I27" s="204"/>
      <c r="J27" s="200"/>
      <c r="K27" s="205"/>
      <c r="L27" s="206"/>
      <c r="M27" s="206"/>
      <c r="N27" s="206"/>
      <c r="O27" s="206"/>
      <c r="P27" s="206"/>
      <c r="Q27" s="206"/>
    </row>
    <row r="28" spans="1:17" s="194" customFormat="1">
      <c r="A28" s="243"/>
      <c r="B28" s="244" t="s">
        <v>197</v>
      </c>
      <c r="C28" s="245"/>
      <c r="D28" s="246"/>
      <c r="E28" s="247"/>
      <c r="F28" s="247"/>
      <c r="G28" s="247"/>
      <c r="H28" s="248"/>
      <c r="I28" s="249"/>
      <c r="J28" s="250"/>
      <c r="K28" s="251"/>
      <c r="L28" s="252"/>
      <c r="M28" s="252"/>
      <c r="N28" s="252"/>
      <c r="O28" s="252"/>
      <c r="P28" s="252"/>
      <c r="Q28" s="252"/>
    </row>
    <row r="29" spans="1:17" s="194" customFormat="1">
      <c r="A29" s="207">
        <v>23</v>
      </c>
      <c r="B29" s="211" t="s">
        <v>183</v>
      </c>
      <c r="C29" s="208"/>
      <c r="D29" s="201"/>
      <c r="E29" s="202"/>
      <c r="F29" s="202"/>
      <c r="G29" s="202"/>
      <c r="H29" s="203"/>
      <c r="I29" s="204"/>
      <c r="J29" s="200"/>
      <c r="K29" s="205"/>
      <c r="L29" s="206"/>
      <c r="M29" s="206"/>
      <c r="N29" s="206"/>
      <c r="O29" s="206"/>
      <c r="P29" s="206"/>
      <c r="Q29" s="206"/>
    </row>
    <row r="30" spans="1:17" s="194" customFormat="1">
      <c r="A30" s="207">
        <v>24</v>
      </c>
      <c r="B30" s="211" t="s">
        <v>198</v>
      </c>
      <c r="C30" s="208"/>
      <c r="D30" s="201"/>
      <c r="E30" s="202"/>
      <c r="F30" s="202"/>
      <c r="G30" s="202"/>
      <c r="H30" s="203"/>
      <c r="I30" s="204"/>
      <c r="J30" s="200"/>
      <c r="K30" s="205"/>
      <c r="L30" s="206"/>
      <c r="M30" s="206"/>
      <c r="N30" s="206"/>
      <c r="O30" s="206"/>
      <c r="P30" s="206"/>
      <c r="Q30" s="206"/>
    </row>
    <row r="31" spans="1:17" s="194" customFormat="1">
      <c r="A31" s="253"/>
      <c r="B31" s="254" t="s">
        <v>199</v>
      </c>
      <c r="C31" s="255"/>
      <c r="D31" s="244"/>
      <c r="E31" s="256"/>
      <c r="F31" s="256"/>
      <c r="G31" s="256"/>
      <c r="H31" s="257"/>
      <c r="I31" s="258"/>
      <c r="J31" s="259"/>
      <c r="K31" s="260"/>
      <c r="L31" s="252"/>
      <c r="M31" s="252"/>
      <c r="N31" s="252"/>
      <c r="O31" s="252"/>
      <c r="P31" s="252"/>
      <c r="Q31" s="252"/>
    </row>
    <row r="32" spans="1:17" s="194" customFormat="1">
      <c r="A32" s="207">
        <v>25</v>
      </c>
      <c r="B32" s="210" t="s">
        <v>183</v>
      </c>
      <c r="C32" s="208"/>
      <c r="D32" s="201"/>
      <c r="E32" s="202"/>
      <c r="F32" s="202"/>
      <c r="G32" s="202"/>
      <c r="H32" s="203"/>
      <c r="I32" s="204"/>
      <c r="J32" s="200"/>
      <c r="K32" s="205"/>
      <c r="L32" s="206"/>
      <c r="M32" s="206"/>
      <c r="N32" s="206"/>
      <c r="O32" s="206"/>
      <c r="P32" s="206"/>
      <c r="Q32" s="206"/>
    </row>
    <row r="33" spans="1:17" s="194" customFormat="1">
      <c r="A33" s="207">
        <v>26</v>
      </c>
      <c r="B33" s="210" t="s">
        <v>200</v>
      </c>
      <c r="C33" s="208"/>
      <c r="D33" s="201"/>
      <c r="E33" s="202"/>
      <c r="F33" s="202"/>
      <c r="G33" s="202"/>
      <c r="H33" s="203"/>
      <c r="I33" s="204"/>
      <c r="J33" s="200"/>
      <c r="K33" s="205"/>
      <c r="L33" s="206"/>
      <c r="M33" s="206"/>
      <c r="N33" s="206"/>
      <c r="O33" s="206"/>
      <c r="P33" s="206"/>
      <c r="Q33" s="206"/>
    </row>
    <row r="34" spans="1:17" s="219" customFormat="1" ht="15" customHeight="1" thickBot="1">
      <c r="A34" s="335" t="s">
        <v>5</v>
      </c>
      <c r="B34" s="336"/>
      <c r="C34" s="337"/>
      <c r="D34" s="212"/>
      <c r="E34" s="213"/>
      <c r="F34" s="213"/>
      <c r="G34" s="213"/>
      <c r="H34" s="214"/>
      <c r="I34" s="215"/>
      <c r="J34" s="216"/>
      <c r="K34" s="217"/>
      <c r="L34" s="206"/>
      <c r="M34" s="206"/>
      <c r="N34" s="206"/>
      <c r="O34" s="218"/>
      <c r="P34" s="218"/>
      <c r="Q34" s="218"/>
    </row>
  </sheetData>
  <mergeCells count="8">
    <mergeCell ref="A34:C34"/>
    <mergeCell ref="A3:A4"/>
    <mergeCell ref="B3:B4"/>
    <mergeCell ref="C3:C4"/>
    <mergeCell ref="D3:F3"/>
    <mergeCell ref="G3:J3"/>
    <mergeCell ref="K3:M3"/>
    <mergeCell ref="N3:Q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5"/>
  <sheetViews>
    <sheetView workbookViewId="0">
      <selection activeCell="D3" sqref="D3:Q4"/>
    </sheetView>
  </sheetViews>
  <sheetFormatPr defaultColWidth="11.5703125" defaultRowHeight="12.75"/>
  <cols>
    <col min="1" max="1" width="7.28515625" style="220" customWidth="1"/>
    <col min="2" max="2" width="31.85546875" style="220" bestFit="1" customWidth="1"/>
    <col min="3" max="3" width="23.5703125" style="220" customWidth="1"/>
    <col min="4" max="8" width="21.85546875" style="220" customWidth="1"/>
    <col min="9" max="17" width="26.7109375" style="220" customWidth="1"/>
    <col min="18" max="214" width="8.7109375" style="220" customWidth="1"/>
    <col min="215" max="215" width="7.28515625" style="220" customWidth="1"/>
    <col min="216" max="216" width="18.28515625" style="220" customWidth="1"/>
    <col min="217" max="217" width="23.42578125" style="220" bestFit="1" customWidth="1"/>
    <col min="218" max="219" width="10.140625" style="220" bestFit="1" customWidth="1"/>
    <col min="220" max="222" width="10.140625" style="220" customWidth="1"/>
    <col min="223" max="223" width="16.28515625" style="220" customWidth="1"/>
    <col min="224" max="224" width="20.28515625" style="220" bestFit="1" customWidth="1"/>
    <col min="225" max="227" width="20.28515625" style="220" customWidth="1"/>
    <col min="228" max="228" width="20.28515625" style="220" bestFit="1" customWidth="1"/>
    <col min="229" max="229" width="15.42578125" style="220" customWidth="1"/>
    <col min="230" max="230" width="20.28515625" style="220" bestFit="1" customWidth="1"/>
    <col min="231" max="233" width="20.28515625" style="220" customWidth="1"/>
    <col min="234" max="234" width="20.28515625" style="220" bestFit="1" customWidth="1"/>
    <col min="235" max="235" width="15.42578125" style="220" customWidth="1"/>
    <col min="236" max="236" width="20.7109375" style="220" bestFit="1" customWidth="1"/>
    <col min="237" max="239" width="20.7109375" style="220" customWidth="1"/>
    <col min="240" max="240" width="20.7109375" style="220" bestFit="1" customWidth="1"/>
    <col min="241" max="241" width="12.140625" style="220" customWidth="1"/>
    <col min="242" max="470" width="8.7109375" style="220" customWidth="1"/>
    <col min="471" max="471" width="7.28515625" style="220" customWidth="1"/>
    <col min="472" max="472" width="18.28515625" style="220" customWidth="1"/>
    <col min="473" max="473" width="23.42578125" style="220" bestFit="1" customWidth="1"/>
    <col min="474" max="475" width="10.140625" style="220" bestFit="1" customWidth="1"/>
    <col min="476" max="478" width="10.140625" style="220" customWidth="1"/>
    <col min="479" max="479" width="16.28515625" style="220" customWidth="1"/>
    <col min="480" max="480" width="20.28515625" style="220" bestFit="1" customWidth="1"/>
    <col min="481" max="483" width="20.28515625" style="220" customWidth="1"/>
    <col min="484" max="484" width="20.28515625" style="220" bestFit="1" customWidth="1"/>
    <col min="485" max="485" width="15.42578125" style="220" customWidth="1"/>
    <col min="486" max="486" width="20.28515625" style="220" bestFit="1" customWidth="1"/>
    <col min="487" max="489" width="20.28515625" style="220" customWidth="1"/>
    <col min="490" max="490" width="20.28515625" style="220" bestFit="1" customWidth="1"/>
    <col min="491" max="491" width="15.42578125" style="220" customWidth="1"/>
    <col min="492" max="492" width="20.7109375" style="220" bestFit="1" customWidth="1"/>
    <col min="493" max="495" width="20.7109375" style="220" customWidth="1"/>
    <col min="496" max="496" width="20.7109375" style="220" bestFit="1" customWidth="1"/>
    <col min="497" max="497" width="12.140625" style="220" customWidth="1"/>
    <col min="498" max="726" width="8.7109375" style="220" customWidth="1"/>
    <col min="727" max="727" width="7.28515625" style="220" customWidth="1"/>
    <col min="728" max="728" width="18.28515625" style="220" customWidth="1"/>
    <col min="729" max="729" width="23.42578125" style="220" bestFit="1" customWidth="1"/>
    <col min="730" max="731" width="10.140625" style="220" bestFit="1" customWidth="1"/>
    <col min="732" max="734" width="10.140625" style="220" customWidth="1"/>
    <col min="735" max="735" width="16.28515625" style="220" customWidth="1"/>
    <col min="736" max="736" width="20.28515625" style="220" bestFit="1" customWidth="1"/>
    <col min="737" max="739" width="20.28515625" style="220" customWidth="1"/>
    <col min="740" max="740" width="20.28515625" style="220" bestFit="1" customWidth="1"/>
    <col min="741" max="741" width="15.42578125" style="220" customWidth="1"/>
    <col min="742" max="742" width="20.28515625" style="220" bestFit="1" customWidth="1"/>
    <col min="743" max="745" width="20.28515625" style="220" customWidth="1"/>
    <col min="746" max="746" width="20.28515625" style="220" bestFit="1" customWidth="1"/>
    <col min="747" max="747" width="15.42578125" style="220" customWidth="1"/>
    <col min="748" max="748" width="20.7109375" style="220" bestFit="1" customWidth="1"/>
    <col min="749" max="751" width="20.7109375" style="220" customWidth="1"/>
    <col min="752" max="752" width="20.7109375" style="220" bestFit="1" customWidth="1"/>
    <col min="753" max="753" width="12.140625" style="220" customWidth="1"/>
    <col min="754" max="982" width="8.7109375" style="220" customWidth="1"/>
    <col min="983" max="983" width="7.28515625" style="220" customWidth="1"/>
    <col min="984" max="984" width="18.28515625" style="220" customWidth="1"/>
    <col min="985" max="985" width="23.42578125" style="220" bestFit="1" customWidth="1"/>
    <col min="986" max="987" width="10.140625" style="220" bestFit="1" customWidth="1"/>
    <col min="988" max="990" width="10.140625" style="220" customWidth="1"/>
    <col min="991" max="991" width="16.28515625" style="220" customWidth="1"/>
    <col min="992" max="992" width="20.28515625" style="220" bestFit="1" customWidth="1"/>
    <col min="993" max="995" width="20.28515625" style="220" customWidth="1"/>
    <col min="996" max="996" width="20.28515625" style="220" bestFit="1" customWidth="1"/>
    <col min="997" max="997" width="15.42578125" style="220" customWidth="1"/>
    <col min="998" max="998" width="20.28515625" style="220" bestFit="1" customWidth="1"/>
    <col min="999" max="1001" width="20.28515625" style="220" customWidth="1"/>
    <col min="1002" max="1002" width="20.28515625" style="220" bestFit="1" customWidth="1"/>
    <col min="1003" max="1003" width="15.42578125" style="220" customWidth="1"/>
    <col min="1004" max="1004" width="20.7109375" style="220" bestFit="1" customWidth="1"/>
    <col min="1005" max="1007" width="20.7109375" style="220" customWidth="1"/>
    <col min="1008" max="1008" width="20.7109375" style="220" bestFit="1" customWidth="1"/>
    <col min="1009" max="1009" width="12.140625" style="220" customWidth="1"/>
    <col min="1010" max="1238" width="8.7109375" style="220" customWidth="1"/>
    <col min="1239" max="1239" width="7.28515625" style="220" customWidth="1"/>
    <col min="1240" max="1240" width="18.28515625" style="220" customWidth="1"/>
    <col min="1241" max="1241" width="23.42578125" style="220" bestFit="1" customWidth="1"/>
    <col min="1242" max="1243" width="10.140625" style="220" bestFit="1" customWidth="1"/>
    <col min="1244" max="1246" width="10.140625" style="220" customWidth="1"/>
    <col min="1247" max="1247" width="16.28515625" style="220" customWidth="1"/>
    <col min="1248" max="1248" width="20.28515625" style="220" bestFit="1" customWidth="1"/>
    <col min="1249" max="1251" width="20.28515625" style="220" customWidth="1"/>
    <col min="1252" max="1252" width="20.28515625" style="220" bestFit="1" customWidth="1"/>
    <col min="1253" max="1253" width="15.42578125" style="220" customWidth="1"/>
    <col min="1254" max="1254" width="20.28515625" style="220" bestFit="1" customWidth="1"/>
    <col min="1255" max="1257" width="20.28515625" style="220" customWidth="1"/>
    <col min="1258" max="1258" width="20.28515625" style="220" bestFit="1" customWidth="1"/>
    <col min="1259" max="1259" width="15.42578125" style="220" customWidth="1"/>
    <col min="1260" max="1260" width="20.7109375" style="220" bestFit="1" customWidth="1"/>
    <col min="1261" max="1263" width="20.7109375" style="220" customWidth="1"/>
    <col min="1264" max="1264" width="20.7109375" style="220" bestFit="1" customWidth="1"/>
    <col min="1265" max="1265" width="12.140625" style="220" customWidth="1"/>
    <col min="1266" max="1494" width="8.7109375" style="220" customWidth="1"/>
    <col min="1495" max="1495" width="7.28515625" style="220" customWidth="1"/>
    <col min="1496" max="1496" width="18.28515625" style="220" customWidth="1"/>
    <col min="1497" max="1497" width="23.42578125" style="220" bestFit="1" customWidth="1"/>
    <col min="1498" max="1499" width="10.140625" style="220" bestFit="1" customWidth="1"/>
    <col min="1500" max="1502" width="10.140625" style="220" customWidth="1"/>
    <col min="1503" max="1503" width="16.28515625" style="220" customWidth="1"/>
    <col min="1504" max="1504" width="20.28515625" style="220" bestFit="1" customWidth="1"/>
    <col min="1505" max="1507" width="20.28515625" style="220" customWidth="1"/>
    <col min="1508" max="1508" width="20.28515625" style="220" bestFit="1" customWidth="1"/>
    <col min="1509" max="1509" width="15.42578125" style="220" customWidth="1"/>
    <col min="1510" max="1510" width="20.28515625" style="220" bestFit="1" customWidth="1"/>
    <col min="1511" max="1513" width="20.28515625" style="220" customWidth="1"/>
    <col min="1514" max="1514" width="20.28515625" style="220" bestFit="1" customWidth="1"/>
    <col min="1515" max="1515" width="15.42578125" style="220" customWidth="1"/>
    <col min="1516" max="1516" width="20.7109375" style="220" bestFit="1" customWidth="1"/>
    <col min="1517" max="1519" width="20.7109375" style="220" customWidth="1"/>
    <col min="1520" max="1520" width="20.7109375" style="220" bestFit="1" customWidth="1"/>
    <col min="1521" max="1521" width="12.140625" style="220" customWidth="1"/>
    <col min="1522" max="1750" width="8.7109375" style="220" customWidth="1"/>
    <col min="1751" max="1751" width="7.28515625" style="220" customWidth="1"/>
    <col min="1752" max="1752" width="18.28515625" style="220" customWidth="1"/>
    <col min="1753" max="1753" width="23.42578125" style="220" bestFit="1" customWidth="1"/>
    <col min="1754" max="1755" width="10.140625" style="220" bestFit="1" customWidth="1"/>
    <col min="1756" max="1758" width="10.140625" style="220" customWidth="1"/>
    <col min="1759" max="1759" width="16.28515625" style="220" customWidth="1"/>
    <col min="1760" max="1760" width="20.28515625" style="220" bestFit="1" customWidth="1"/>
    <col min="1761" max="1763" width="20.28515625" style="220" customWidth="1"/>
    <col min="1764" max="1764" width="20.28515625" style="220" bestFit="1" customWidth="1"/>
    <col min="1765" max="1765" width="15.42578125" style="220" customWidth="1"/>
    <col min="1766" max="1766" width="20.28515625" style="220" bestFit="1" customWidth="1"/>
    <col min="1767" max="1769" width="20.28515625" style="220" customWidth="1"/>
    <col min="1770" max="1770" width="20.28515625" style="220" bestFit="1" customWidth="1"/>
    <col min="1771" max="1771" width="15.42578125" style="220" customWidth="1"/>
    <col min="1772" max="1772" width="20.7109375" style="220" bestFit="1" customWidth="1"/>
    <col min="1773" max="1775" width="20.7109375" style="220" customWidth="1"/>
    <col min="1776" max="1776" width="20.7109375" style="220" bestFit="1" customWidth="1"/>
    <col min="1777" max="1777" width="12.140625" style="220" customWidth="1"/>
    <col min="1778" max="2006" width="8.7109375" style="220" customWidth="1"/>
    <col min="2007" max="2007" width="7.28515625" style="220" customWidth="1"/>
    <col min="2008" max="2008" width="18.28515625" style="220" customWidth="1"/>
    <col min="2009" max="2009" width="23.42578125" style="220" bestFit="1" customWidth="1"/>
    <col min="2010" max="2011" width="10.140625" style="220" bestFit="1" customWidth="1"/>
    <col min="2012" max="2014" width="10.140625" style="220" customWidth="1"/>
    <col min="2015" max="2015" width="16.28515625" style="220" customWidth="1"/>
    <col min="2016" max="2016" width="20.28515625" style="220" bestFit="1" customWidth="1"/>
    <col min="2017" max="2019" width="20.28515625" style="220" customWidth="1"/>
    <col min="2020" max="2020" width="20.28515625" style="220" bestFit="1" customWidth="1"/>
    <col min="2021" max="2021" width="15.42578125" style="220" customWidth="1"/>
    <col min="2022" max="2022" width="20.28515625" style="220" bestFit="1" customWidth="1"/>
    <col min="2023" max="2025" width="20.28515625" style="220" customWidth="1"/>
    <col min="2026" max="2026" width="20.28515625" style="220" bestFit="1" customWidth="1"/>
    <col min="2027" max="2027" width="15.42578125" style="220" customWidth="1"/>
    <col min="2028" max="2028" width="20.7109375" style="220" bestFit="1" customWidth="1"/>
    <col min="2029" max="2031" width="20.7109375" style="220" customWidth="1"/>
    <col min="2032" max="2032" width="20.7109375" style="220" bestFit="1" customWidth="1"/>
    <col min="2033" max="2033" width="12.140625" style="220" customWidth="1"/>
    <col min="2034" max="2262" width="8.7109375" style="220" customWidth="1"/>
    <col min="2263" max="2263" width="7.28515625" style="220" customWidth="1"/>
    <col min="2264" max="2264" width="18.28515625" style="220" customWidth="1"/>
    <col min="2265" max="2265" width="23.42578125" style="220" bestFit="1" customWidth="1"/>
    <col min="2266" max="2267" width="10.140625" style="220" bestFit="1" customWidth="1"/>
    <col min="2268" max="2270" width="10.140625" style="220" customWidth="1"/>
    <col min="2271" max="2271" width="16.28515625" style="220" customWidth="1"/>
    <col min="2272" max="2272" width="20.28515625" style="220" bestFit="1" customWidth="1"/>
    <col min="2273" max="2275" width="20.28515625" style="220" customWidth="1"/>
    <col min="2276" max="2276" width="20.28515625" style="220" bestFit="1" customWidth="1"/>
    <col min="2277" max="2277" width="15.42578125" style="220" customWidth="1"/>
    <col min="2278" max="2278" width="20.28515625" style="220" bestFit="1" customWidth="1"/>
    <col min="2279" max="2281" width="20.28515625" style="220" customWidth="1"/>
    <col min="2282" max="2282" width="20.28515625" style="220" bestFit="1" customWidth="1"/>
    <col min="2283" max="2283" width="15.42578125" style="220" customWidth="1"/>
    <col min="2284" max="2284" width="20.7109375" style="220" bestFit="1" customWidth="1"/>
    <col min="2285" max="2287" width="20.7109375" style="220" customWidth="1"/>
    <col min="2288" max="2288" width="20.7109375" style="220" bestFit="1" customWidth="1"/>
    <col min="2289" max="2289" width="12.140625" style="220" customWidth="1"/>
    <col min="2290" max="2518" width="8.7109375" style="220" customWidth="1"/>
    <col min="2519" max="2519" width="7.28515625" style="220" customWidth="1"/>
    <col min="2520" max="2520" width="18.28515625" style="220" customWidth="1"/>
    <col min="2521" max="2521" width="23.42578125" style="220" bestFit="1" customWidth="1"/>
    <col min="2522" max="2523" width="10.140625" style="220" bestFit="1" customWidth="1"/>
    <col min="2524" max="2526" width="10.140625" style="220" customWidth="1"/>
    <col min="2527" max="2527" width="16.28515625" style="220" customWidth="1"/>
    <col min="2528" max="2528" width="20.28515625" style="220" bestFit="1" customWidth="1"/>
    <col min="2529" max="2531" width="20.28515625" style="220" customWidth="1"/>
    <col min="2532" max="2532" width="20.28515625" style="220" bestFit="1" customWidth="1"/>
    <col min="2533" max="2533" width="15.42578125" style="220" customWidth="1"/>
    <col min="2534" max="2534" width="20.28515625" style="220" bestFit="1" customWidth="1"/>
    <col min="2535" max="2537" width="20.28515625" style="220" customWidth="1"/>
    <col min="2538" max="2538" width="20.28515625" style="220" bestFit="1" customWidth="1"/>
    <col min="2539" max="2539" width="15.42578125" style="220" customWidth="1"/>
    <col min="2540" max="2540" width="20.7109375" style="220" bestFit="1" customWidth="1"/>
    <col min="2541" max="2543" width="20.7109375" style="220" customWidth="1"/>
    <col min="2544" max="2544" width="20.7109375" style="220" bestFit="1" customWidth="1"/>
    <col min="2545" max="2545" width="12.140625" style="220" customWidth="1"/>
    <col min="2546" max="2774" width="8.7109375" style="220" customWidth="1"/>
    <col min="2775" max="2775" width="7.28515625" style="220" customWidth="1"/>
    <col min="2776" max="2776" width="18.28515625" style="220" customWidth="1"/>
    <col min="2777" max="2777" width="23.42578125" style="220" bestFit="1" customWidth="1"/>
    <col min="2778" max="2779" width="10.140625" style="220" bestFit="1" customWidth="1"/>
    <col min="2780" max="2782" width="10.140625" style="220" customWidth="1"/>
    <col min="2783" max="2783" width="16.28515625" style="220" customWidth="1"/>
    <col min="2784" max="2784" width="20.28515625" style="220" bestFit="1" customWidth="1"/>
    <col min="2785" max="2787" width="20.28515625" style="220" customWidth="1"/>
    <col min="2788" max="2788" width="20.28515625" style="220" bestFit="1" customWidth="1"/>
    <col min="2789" max="2789" width="15.42578125" style="220" customWidth="1"/>
    <col min="2790" max="2790" width="20.28515625" style="220" bestFit="1" customWidth="1"/>
    <col min="2791" max="2793" width="20.28515625" style="220" customWidth="1"/>
    <col min="2794" max="2794" width="20.28515625" style="220" bestFit="1" customWidth="1"/>
    <col min="2795" max="2795" width="15.42578125" style="220" customWidth="1"/>
    <col min="2796" max="2796" width="20.7109375" style="220" bestFit="1" customWidth="1"/>
    <col min="2797" max="2799" width="20.7109375" style="220" customWidth="1"/>
    <col min="2800" max="2800" width="20.7109375" style="220" bestFit="1" customWidth="1"/>
    <col min="2801" max="2801" width="12.140625" style="220" customWidth="1"/>
    <col min="2802" max="3030" width="8.7109375" style="220" customWidth="1"/>
    <col min="3031" max="3031" width="7.28515625" style="220" customWidth="1"/>
    <col min="3032" max="3032" width="18.28515625" style="220" customWidth="1"/>
    <col min="3033" max="3033" width="23.42578125" style="220" bestFit="1" customWidth="1"/>
    <col min="3034" max="3035" width="10.140625" style="220" bestFit="1" customWidth="1"/>
    <col min="3036" max="3038" width="10.140625" style="220" customWidth="1"/>
    <col min="3039" max="3039" width="16.28515625" style="220" customWidth="1"/>
    <col min="3040" max="3040" width="20.28515625" style="220" bestFit="1" customWidth="1"/>
    <col min="3041" max="3043" width="20.28515625" style="220" customWidth="1"/>
    <col min="3044" max="3044" width="20.28515625" style="220" bestFit="1" customWidth="1"/>
    <col min="3045" max="3045" width="15.42578125" style="220" customWidth="1"/>
    <col min="3046" max="3046" width="20.28515625" style="220" bestFit="1" customWidth="1"/>
    <col min="3047" max="3049" width="20.28515625" style="220" customWidth="1"/>
    <col min="3050" max="3050" width="20.28515625" style="220" bestFit="1" customWidth="1"/>
    <col min="3051" max="3051" width="15.42578125" style="220" customWidth="1"/>
    <col min="3052" max="3052" width="20.7109375" style="220" bestFit="1" customWidth="1"/>
    <col min="3053" max="3055" width="20.7109375" style="220" customWidth="1"/>
    <col min="3056" max="3056" width="20.7109375" style="220" bestFit="1" customWidth="1"/>
    <col min="3057" max="3057" width="12.140625" style="220" customWidth="1"/>
    <col min="3058" max="3286" width="8.7109375" style="220" customWidth="1"/>
    <col min="3287" max="3287" width="7.28515625" style="220" customWidth="1"/>
    <col min="3288" max="3288" width="18.28515625" style="220" customWidth="1"/>
    <col min="3289" max="3289" width="23.42578125" style="220" bestFit="1" customWidth="1"/>
    <col min="3290" max="3291" width="10.140625" style="220" bestFit="1" customWidth="1"/>
    <col min="3292" max="3294" width="10.140625" style="220" customWidth="1"/>
    <col min="3295" max="3295" width="16.28515625" style="220" customWidth="1"/>
    <col min="3296" max="3296" width="20.28515625" style="220" bestFit="1" customWidth="1"/>
    <col min="3297" max="3299" width="20.28515625" style="220" customWidth="1"/>
    <col min="3300" max="3300" width="20.28515625" style="220" bestFit="1" customWidth="1"/>
    <col min="3301" max="3301" width="15.42578125" style="220" customWidth="1"/>
    <col min="3302" max="3302" width="20.28515625" style="220" bestFit="1" customWidth="1"/>
    <col min="3303" max="3305" width="20.28515625" style="220" customWidth="1"/>
    <col min="3306" max="3306" width="20.28515625" style="220" bestFit="1" customWidth="1"/>
    <col min="3307" max="3307" width="15.42578125" style="220" customWidth="1"/>
    <col min="3308" max="3308" width="20.7109375" style="220" bestFit="1" customWidth="1"/>
    <col min="3309" max="3311" width="20.7109375" style="220" customWidth="1"/>
    <col min="3312" max="3312" width="20.7109375" style="220" bestFit="1" customWidth="1"/>
    <col min="3313" max="3313" width="12.140625" style="220" customWidth="1"/>
    <col min="3314" max="3542" width="8.7109375" style="220" customWidth="1"/>
    <col min="3543" max="3543" width="7.28515625" style="220" customWidth="1"/>
    <col min="3544" max="3544" width="18.28515625" style="220" customWidth="1"/>
    <col min="3545" max="3545" width="23.42578125" style="220" bestFit="1" customWidth="1"/>
    <col min="3546" max="3547" width="10.140625" style="220" bestFit="1" customWidth="1"/>
    <col min="3548" max="3550" width="10.140625" style="220" customWidth="1"/>
    <col min="3551" max="3551" width="16.28515625" style="220" customWidth="1"/>
    <col min="3552" max="3552" width="20.28515625" style="220" bestFit="1" customWidth="1"/>
    <col min="3553" max="3555" width="20.28515625" style="220" customWidth="1"/>
    <col min="3556" max="3556" width="20.28515625" style="220" bestFit="1" customWidth="1"/>
    <col min="3557" max="3557" width="15.42578125" style="220" customWidth="1"/>
    <col min="3558" max="3558" width="20.28515625" style="220" bestFit="1" customWidth="1"/>
    <col min="3559" max="3561" width="20.28515625" style="220" customWidth="1"/>
    <col min="3562" max="3562" width="20.28515625" style="220" bestFit="1" customWidth="1"/>
    <col min="3563" max="3563" width="15.42578125" style="220" customWidth="1"/>
    <col min="3564" max="3564" width="20.7109375" style="220" bestFit="1" customWidth="1"/>
    <col min="3565" max="3567" width="20.7109375" style="220" customWidth="1"/>
    <col min="3568" max="3568" width="20.7109375" style="220" bestFit="1" customWidth="1"/>
    <col min="3569" max="3569" width="12.140625" style="220" customWidth="1"/>
    <col min="3570" max="3798" width="8.7109375" style="220" customWidth="1"/>
    <col min="3799" max="3799" width="7.28515625" style="220" customWidth="1"/>
    <col min="3800" max="3800" width="18.28515625" style="220" customWidth="1"/>
    <col min="3801" max="3801" width="23.42578125" style="220" bestFit="1" customWidth="1"/>
    <col min="3802" max="3803" width="10.140625" style="220" bestFit="1" customWidth="1"/>
    <col min="3804" max="3806" width="10.140625" style="220" customWidth="1"/>
    <col min="3807" max="3807" width="16.28515625" style="220" customWidth="1"/>
    <col min="3808" max="3808" width="20.28515625" style="220" bestFit="1" customWidth="1"/>
    <col min="3809" max="3811" width="20.28515625" style="220" customWidth="1"/>
    <col min="3812" max="3812" width="20.28515625" style="220" bestFit="1" customWidth="1"/>
    <col min="3813" max="3813" width="15.42578125" style="220" customWidth="1"/>
    <col min="3814" max="3814" width="20.28515625" style="220" bestFit="1" customWidth="1"/>
    <col min="3815" max="3817" width="20.28515625" style="220" customWidth="1"/>
    <col min="3818" max="3818" width="20.28515625" style="220" bestFit="1" customWidth="1"/>
    <col min="3819" max="3819" width="15.42578125" style="220" customWidth="1"/>
    <col min="3820" max="3820" width="20.7109375" style="220" bestFit="1" customWidth="1"/>
    <col min="3821" max="3823" width="20.7109375" style="220" customWidth="1"/>
    <col min="3824" max="3824" width="20.7109375" style="220" bestFit="1" customWidth="1"/>
    <col min="3825" max="3825" width="12.140625" style="220" customWidth="1"/>
    <col min="3826" max="4054" width="8.7109375" style="220" customWidth="1"/>
    <col min="4055" max="4055" width="7.28515625" style="220" customWidth="1"/>
    <col min="4056" max="4056" width="18.28515625" style="220" customWidth="1"/>
    <col min="4057" max="4057" width="23.42578125" style="220" bestFit="1" customWidth="1"/>
    <col min="4058" max="4059" width="10.140625" style="220" bestFit="1" customWidth="1"/>
    <col min="4060" max="4062" width="10.140625" style="220" customWidth="1"/>
    <col min="4063" max="4063" width="16.28515625" style="220" customWidth="1"/>
    <col min="4064" max="4064" width="20.28515625" style="220" bestFit="1" customWidth="1"/>
    <col min="4065" max="4067" width="20.28515625" style="220" customWidth="1"/>
    <col min="4068" max="4068" width="20.28515625" style="220" bestFit="1" customWidth="1"/>
    <col min="4069" max="4069" width="15.42578125" style="220" customWidth="1"/>
    <col min="4070" max="4070" width="20.28515625" style="220" bestFit="1" customWidth="1"/>
    <col min="4071" max="4073" width="20.28515625" style="220" customWidth="1"/>
    <col min="4074" max="4074" width="20.28515625" style="220" bestFit="1" customWidth="1"/>
    <col min="4075" max="4075" width="15.42578125" style="220" customWidth="1"/>
    <col min="4076" max="4076" width="20.7109375" style="220" bestFit="1" customWidth="1"/>
    <col min="4077" max="4079" width="20.7109375" style="220" customWidth="1"/>
    <col min="4080" max="4080" width="20.7109375" style="220" bestFit="1" customWidth="1"/>
    <col min="4081" max="4081" width="12.140625" style="220" customWidth="1"/>
    <col min="4082" max="4310" width="8.7109375" style="220" customWidth="1"/>
    <col min="4311" max="4311" width="7.28515625" style="220" customWidth="1"/>
    <col min="4312" max="4312" width="18.28515625" style="220" customWidth="1"/>
    <col min="4313" max="4313" width="23.42578125" style="220" bestFit="1" customWidth="1"/>
    <col min="4314" max="4315" width="10.140625" style="220" bestFit="1" customWidth="1"/>
    <col min="4316" max="4318" width="10.140625" style="220" customWidth="1"/>
    <col min="4319" max="4319" width="16.28515625" style="220" customWidth="1"/>
    <col min="4320" max="4320" width="20.28515625" style="220" bestFit="1" customWidth="1"/>
    <col min="4321" max="4323" width="20.28515625" style="220" customWidth="1"/>
    <col min="4324" max="4324" width="20.28515625" style="220" bestFit="1" customWidth="1"/>
    <col min="4325" max="4325" width="15.42578125" style="220" customWidth="1"/>
    <col min="4326" max="4326" width="20.28515625" style="220" bestFit="1" customWidth="1"/>
    <col min="4327" max="4329" width="20.28515625" style="220" customWidth="1"/>
    <col min="4330" max="4330" width="20.28515625" style="220" bestFit="1" customWidth="1"/>
    <col min="4331" max="4331" width="15.42578125" style="220" customWidth="1"/>
    <col min="4332" max="4332" width="20.7109375" style="220" bestFit="1" customWidth="1"/>
    <col min="4333" max="4335" width="20.7109375" style="220" customWidth="1"/>
    <col min="4336" max="4336" width="20.7109375" style="220" bestFit="1" customWidth="1"/>
    <col min="4337" max="4337" width="12.140625" style="220" customWidth="1"/>
    <col min="4338" max="4566" width="8.7109375" style="220" customWidth="1"/>
    <col min="4567" max="4567" width="7.28515625" style="220" customWidth="1"/>
    <col min="4568" max="4568" width="18.28515625" style="220" customWidth="1"/>
    <col min="4569" max="4569" width="23.42578125" style="220" bestFit="1" customWidth="1"/>
    <col min="4570" max="4571" width="10.140625" style="220" bestFit="1" customWidth="1"/>
    <col min="4572" max="4574" width="10.140625" style="220" customWidth="1"/>
    <col min="4575" max="4575" width="16.28515625" style="220" customWidth="1"/>
    <col min="4576" max="4576" width="20.28515625" style="220" bestFit="1" customWidth="1"/>
    <col min="4577" max="4579" width="20.28515625" style="220" customWidth="1"/>
    <col min="4580" max="4580" width="20.28515625" style="220" bestFit="1" customWidth="1"/>
    <col min="4581" max="4581" width="15.42578125" style="220" customWidth="1"/>
    <col min="4582" max="4582" width="20.28515625" style="220" bestFit="1" customWidth="1"/>
    <col min="4583" max="4585" width="20.28515625" style="220" customWidth="1"/>
    <col min="4586" max="4586" width="20.28515625" style="220" bestFit="1" customWidth="1"/>
    <col min="4587" max="4587" width="15.42578125" style="220" customWidth="1"/>
    <col min="4588" max="4588" width="20.7109375" style="220" bestFit="1" customWidth="1"/>
    <col min="4589" max="4591" width="20.7109375" style="220" customWidth="1"/>
    <col min="4592" max="4592" width="20.7109375" style="220" bestFit="1" customWidth="1"/>
    <col min="4593" max="4593" width="12.140625" style="220" customWidth="1"/>
    <col min="4594" max="4822" width="8.7109375" style="220" customWidth="1"/>
    <col min="4823" max="4823" width="7.28515625" style="220" customWidth="1"/>
    <col min="4824" max="4824" width="18.28515625" style="220" customWidth="1"/>
    <col min="4825" max="4825" width="23.42578125" style="220" bestFit="1" customWidth="1"/>
    <col min="4826" max="4827" width="10.140625" style="220" bestFit="1" customWidth="1"/>
    <col min="4828" max="4830" width="10.140625" style="220" customWidth="1"/>
    <col min="4831" max="4831" width="16.28515625" style="220" customWidth="1"/>
    <col min="4832" max="4832" width="20.28515625" style="220" bestFit="1" customWidth="1"/>
    <col min="4833" max="4835" width="20.28515625" style="220" customWidth="1"/>
    <col min="4836" max="4836" width="20.28515625" style="220" bestFit="1" customWidth="1"/>
    <col min="4837" max="4837" width="15.42578125" style="220" customWidth="1"/>
    <col min="4838" max="4838" width="20.28515625" style="220" bestFit="1" customWidth="1"/>
    <col min="4839" max="4841" width="20.28515625" style="220" customWidth="1"/>
    <col min="4842" max="4842" width="20.28515625" style="220" bestFit="1" customWidth="1"/>
    <col min="4843" max="4843" width="15.42578125" style="220" customWidth="1"/>
    <col min="4844" max="4844" width="20.7109375" style="220" bestFit="1" customWidth="1"/>
    <col min="4845" max="4847" width="20.7109375" style="220" customWidth="1"/>
    <col min="4848" max="4848" width="20.7109375" style="220" bestFit="1" customWidth="1"/>
    <col min="4849" max="4849" width="12.140625" style="220" customWidth="1"/>
    <col min="4850" max="5078" width="8.7109375" style="220" customWidth="1"/>
    <col min="5079" max="5079" width="7.28515625" style="220" customWidth="1"/>
    <col min="5080" max="5080" width="18.28515625" style="220" customWidth="1"/>
    <col min="5081" max="5081" width="23.42578125" style="220" bestFit="1" customWidth="1"/>
    <col min="5082" max="5083" width="10.140625" style="220" bestFit="1" customWidth="1"/>
    <col min="5084" max="5086" width="10.140625" style="220" customWidth="1"/>
    <col min="5087" max="5087" width="16.28515625" style="220" customWidth="1"/>
    <col min="5088" max="5088" width="20.28515625" style="220" bestFit="1" customWidth="1"/>
    <col min="5089" max="5091" width="20.28515625" style="220" customWidth="1"/>
    <col min="5092" max="5092" width="20.28515625" style="220" bestFit="1" customWidth="1"/>
    <col min="5093" max="5093" width="15.42578125" style="220" customWidth="1"/>
    <col min="5094" max="5094" width="20.28515625" style="220" bestFit="1" customWidth="1"/>
    <col min="5095" max="5097" width="20.28515625" style="220" customWidth="1"/>
    <col min="5098" max="5098" width="20.28515625" style="220" bestFit="1" customWidth="1"/>
    <col min="5099" max="5099" width="15.42578125" style="220" customWidth="1"/>
    <col min="5100" max="5100" width="20.7109375" style="220" bestFit="1" customWidth="1"/>
    <col min="5101" max="5103" width="20.7109375" style="220" customWidth="1"/>
    <col min="5104" max="5104" width="20.7109375" style="220" bestFit="1" customWidth="1"/>
    <col min="5105" max="5105" width="12.140625" style="220" customWidth="1"/>
    <col min="5106" max="5334" width="8.7109375" style="220" customWidth="1"/>
    <col min="5335" max="5335" width="7.28515625" style="220" customWidth="1"/>
    <col min="5336" max="5336" width="18.28515625" style="220" customWidth="1"/>
    <col min="5337" max="5337" width="23.42578125" style="220" bestFit="1" customWidth="1"/>
    <col min="5338" max="5339" width="10.140625" style="220" bestFit="1" customWidth="1"/>
    <col min="5340" max="5342" width="10.140625" style="220" customWidth="1"/>
    <col min="5343" max="5343" width="16.28515625" style="220" customWidth="1"/>
    <col min="5344" max="5344" width="20.28515625" style="220" bestFit="1" customWidth="1"/>
    <col min="5345" max="5347" width="20.28515625" style="220" customWidth="1"/>
    <col min="5348" max="5348" width="20.28515625" style="220" bestFit="1" customWidth="1"/>
    <col min="5349" max="5349" width="15.42578125" style="220" customWidth="1"/>
    <col min="5350" max="5350" width="20.28515625" style="220" bestFit="1" customWidth="1"/>
    <col min="5351" max="5353" width="20.28515625" style="220" customWidth="1"/>
    <col min="5354" max="5354" width="20.28515625" style="220" bestFit="1" customWidth="1"/>
    <col min="5355" max="5355" width="15.42578125" style="220" customWidth="1"/>
    <col min="5356" max="5356" width="20.7109375" style="220" bestFit="1" customWidth="1"/>
    <col min="5357" max="5359" width="20.7109375" style="220" customWidth="1"/>
    <col min="5360" max="5360" width="20.7109375" style="220" bestFit="1" customWidth="1"/>
    <col min="5361" max="5361" width="12.140625" style="220" customWidth="1"/>
    <col min="5362" max="5590" width="8.7109375" style="220" customWidth="1"/>
    <col min="5591" max="5591" width="7.28515625" style="220" customWidth="1"/>
    <col min="5592" max="5592" width="18.28515625" style="220" customWidth="1"/>
    <col min="5593" max="5593" width="23.42578125" style="220" bestFit="1" customWidth="1"/>
    <col min="5594" max="5595" width="10.140625" style="220" bestFit="1" customWidth="1"/>
    <col min="5596" max="5598" width="10.140625" style="220" customWidth="1"/>
    <col min="5599" max="5599" width="16.28515625" style="220" customWidth="1"/>
    <col min="5600" max="5600" width="20.28515625" style="220" bestFit="1" customWidth="1"/>
    <col min="5601" max="5603" width="20.28515625" style="220" customWidth="1"/>
    <col min="5604" max="5604" width="20.28515625" style="220" bestFit="1" customWidth="1"/>
    <col min="5605" max="5605" width="15.42578125" style="220" customWidth="1"/>
    <col min="5606" max="5606" width="20.28515625" style="220" bestFit="1" customWidth="1"/>
    <col min="5607" max="5609" width="20.28515625" style="220" customWidth="1"/>
    <col min="5610" max="5610" width="20.28515625" style="220" bestFit="1" customWidth="1"/>
    <col min="5611" max="5611" width="15.42578125" style="220" customWidth="1"/>
    <col min="5612" max="5612" width="20.7109375" style="220" bestFit="1" customWidth="1"/>
    <col min="5613" max="5615" width="20.7109375" style="220" customWidth="1"/>
    <col min="5616" max="5616" width="20.7109375" style="220" bestFit="1" customWidth="1"/>
    <col min="5617" max="5617" width="12.140625" style="220" customWidth="1"/>
    <col min="5618" max="5846" width="8.7109375" style="220" customWidth="1"/>
    <col min="5847" max="5847" width="7.28515625" style="220" customWidth="1"/>
    <col min="5848" max="5848" width="18.28515625" style="220" customWidth="1"/>
    <col min="5849" max="5849" width="23.42578125" style="220" bestFit="1" customWidth="1"/>
    <col min="5850" max="5851" width="10.140625" style="220" bestFit="1" customWidth="1"/>
    <col min="5852" max="5854" width="10.140625" style="220" customWidth="1"/>
    <col min="5855" max="5855" width="16.28515625" style="220" customWidth="1"/>
    <col min="5856" max="5856" width="20.28515625" style="220" bestFit="1" customWidth="1"/>
    <col min="5857" max="5859" width="20.28515625" style="220" customWidth="1"/>
    <col min="5860" max="5860" width="20.28515625" style="220" bestFit="1" customWidth="1"/>
    <col min="5861" max="5861" width="15.42578125" style="220" customWidth="1"/>
    <col min="5862" max="5862" width="20.28515625" style="220" bestFit="1" customWidth="1"/>
    <col min="5863" max="5865" width="20.28515625" style="220" customWidth="1"/>
    <col min="5866" max="5866" width="20.28515625" style="220" bestFit="1" customWidth="1"/>
    <col min="5867" max="5867" width="15.42578125" style="220" customWidth="1"/>
    <col min="5868" max="5868" width="20.7109375" style="220" bestFit="1" customWidth="1"/>
    <col min="5869" max="5871" width="20.7109375" style="220" customWidth="1"/>
    <col min="5872" max="5872" width="20.7109375" style="220" bestFit="1" customWidth="1"/>
    <col min="5873" max="5873" width="12.140625" style="220" customWidth="1"/>
    <col min="5874" max="6102" width="8.7109375" style="220" customWidth="1"/>
    <col min="6103" max="6103" width="7.28515625" style="220" customWidth="1"/>
    <col min="6104" max="6104" width="18.28515625" style="220" customWidth="1"/>
    <col min="6105" max="6105" width="23.42578125" style="220" bestFit="1" customWidth="1"/>
    <col min="6106" max="6107" width="10.140625" style="220" bestFit="1" customWidth="1"/>
    <col min="6108" max="6110" width="10.140625" style="220" customWidth="1"/>
    <col min="6111" max="6111" width="16.28515625" style="220" customWidth="1"/>
    <col min="6112" max="6112" width="20.28515625" style="220" bestFit="1" customWidth="1"/>
    <col min="6113" max="6115" width="20.28515625" style="220" customWidth="1"/>
    <col min="6116" max="6116" width="20.28515625" style="220" bestFit="1" customWidth="1"/>
    <col min="6117" max="6117" width="15.42578125" style="220" customWidth="1"/>
    <col min="6118" max="6118" width="20.28515625" style="220" bestFit="1" customWidth="1"/>
    <col min="6119" max="6121" width="20.28515625" style="220" customWidth="1"/>
    <col min="6122" max="6122" width="20.28515625" style="220" bestFit="1" customWidth="1"/>
    <col min="6123" max="6123" width="15.42578125" style="220" customWidth="1"/>
    <col min="6124" max="6124" width="20.7109375" style="220" bestFit="1" customWidth="1"/>
    <col min="6125" max="6127" width="20.7109375" style="220" customWidth="1"/>
    <col min="6128" max="6128" width="20.7109375" style="220" bestFit="1" customWidth="1"/>
    <col min="6129" max="6129" width="12.140625" style="220" customWidth="1"/>
    <col min="6130" max="6358" width="8.7109375" style="220" customWidth="1"/>
    <col min="6359" max="6359" width="7.28515625" style="220" customWidth="1"/>
    <col min="6360" max="6360" width="18.28515625" style="220" customWidth="1"/>
    <col min="6361" max="6361" width="23.42578125" style="220" bestFit="1" customWidth="1"/>
    <col min="6362" max="6363" width="10.140625" style="220" bestFit="1" customWidth="1"/>
    <col min="6364" max="6366" width="10.140625" style="220" customWidth="1"/>
    <col min="6367" max="6367" width="16.28515625" style="220" customWidth="1"/>
    <col min="6368" max="6368" width="20.28515625" style="220" bestFit="1" customWidth="1"/>
    <col min="6369" max="6371" width="20.28515625" style="220" customWidth="1"/>
    <col min="6372" max="6372" width="20.28515625" style="220" bestFit="1" customWidth="1"/>
    <col min="6373" max="6373" width="15.42578125" style="220" customWidth="1"/>
    <col min="6374" max="6374" width="20.28515625" style="220" bestFit="1" customWidth="1"/>
    <col min="6375" max="6377" width="20.28515625" style="220" customWidth="1"/>
    <col min="6378" max="6378" width="20.28515625" style="220" bestFit="1" customWidth="1"/>
    <col min="6379" max="6379" width="15.42578125" style="220" customWidth="1"/>
    <col min="6380" max="6380" width="20.7109375" style="220" bestFit="1" customWidth="1"/>
    <col min="6381" max="6383" width="20.7109375" style="220" customWidth="1"/>
    <col min="6384" max="6384" width="20.7109375" style="220" bestFit="1" customWidth="1"/>
    <col min="6385" max="6385" width="12.140625" style="220" customWidth="1"/>
    <col min="6386" max="6614" width="8.7109375" style="220" customWidth="1"/>
    <col min="6615" max="6615" width="7.28515625" style="220" customWidth="1"/>
    <col min="6616" max="6616" width="18.28515625" style="220" customWidth="1"/>
    <col min="6617" max="6617" width="23.42578125" style="220" bestFit="1" customWidth="1"/>
    <col min="6618" max="6619" width="10.140625" style="220" bestFit="1" customWidth="1"/>
    <col min="6620" max="6622" width="10.140625" style="220" customWidth="1"/>
    <col min="6623" max="6623" width="16.28515625" style="220" customWidth="1"/>
    <col min="6624" max="6624" width="20.28515625" style="220" bestFit="1" customWidth="1"/>
    <col min="6625" max="6627" width="20.28515625" style="220" customWidth="1"/>
    <col min="6628" max="6628" width="20.28515625" style="220" bestFit="1" customWidth="1"/>
    <col min="6629" max="6629" width="15.42578125" style="220" customWidth="1"/>
    <col min="6630" max="6630" width="20.28515625" style="220" bestFit="1" customWidth="1"/>
    <col min="6631" max="6633" width="20.28515625" style="220" customWidth="1"/>
    <col min="6634" max="6634" width="20.28515625" style="220" bestFit="1" customWidth="1"/>
    <col min="6635" max="6635" width="15.42578125" style="220" customWidth="1"/>
    <col min="6636" max="6636" width="20.7109375" style="220" bestFit="1" customWidth="1"/>
    <col min="6637" max="6639" width="20.7109375" style="220" customWidth="1"/>
    <col min="6640" max="6640" width="20.7109375" style="220" bestFit="1" customWidth="1"/>
    <col min="6641" max="6641" width="12.140625" style="220" customWidth="1"/>
    <col min="6642" max="6870" width="8.7109375" style="220" customWidth="1"/>
    <col min="6871" max="6871" width="7.28515625" style="220" customWidth="1"/>
    <col min="6872" max="6872" width="18.28515625" style="220" customWidth="1"/>
    <col min="6873" max="6873" width="23.42578125" style="220" bestFit="1" customWidth="1"/>
    <col min="6874" max="6875" width="10.140625" style="220" bestFit="1" customWidth="1"/>
    <col min="6876" max="6878" width="10.140625" style="220" customWidth="1"/>
    <col min="6879" max="6879" width="16.28515625" style="220" customWidth="1"/>
    <col min="6880" max="6880" width="20.28515625" style="220" bestFit="1" customWidth="1"/>
    <col min="6881" max="6883" width="20.28515625" style="220" customWidth="1"/>
    <col min="6884" max="6884" width="20.28515625" style="220" bestFit="1" customWidth="1"/>
    <col min="6885" max="6885" width="15.42578125" style="220" customWidth="1"/>
    <col min="6886" max="6886" width="20.28515625" style="220" bestFit="1" customWidth="1"/>
    <col min="6887" max="6889" width="20.28515625" style="220" customWidth="1"/>
    <col min="6890" max="6890" width="20.28515625" style="220" bestFit="1" customWidth="1"/>
    <col min="6891" max="6891" width="15.42578125" style="220" customWidth="1"/>
    <col min="6892" max="6892" width="20.7109375" style="220" bestFit="1" customWidth="1"/>
    <col min="6893" max="6895" width="20.7109375" style="220" customWidth="1"/>
    <col min="6896" max="6896" width="20.7109375" style="220" bestFit="1" customWidth="1"/>
    <col min="6897" max="6897" width="12.140625" style="220" customWidth="1"/>
    <col min="6898" max="7126" width="8.7109375" style="220" customWidth="1"/>
    <col min="7127" max="7127" width="7.28515625" style="220" customWidth="1"/>
    <col min="7128" max="7128" width="18.28515625" style="220" customWidth="1"/>
    <col min="7129" max="7129" width="23.42578125" style="220" bestFit="1" customWidth="1"/>
    <col min="7130" max="7131" width="10.140625" style="220" bestFit="1" customWidth="1"/>
    <col min="7132" max="7134" width="10.140625" style="220" customWidth="1"/>
    <col min="7135" max="7135" width="16.28515625" style="220" customWidth="1"/>
    <col min="7136" max="7136" width="20.28515625" style="220" bestFit="1" customWidth="1"/>
    <col min="7137" max="7139" width="20.28515625" style="220" customWidth="1"/>
    <col min="7140" max="7140" width="20.28515625" style="220" bestFit="1" customWidth="1"/>
    <col min="7141" max="7141" width="15.42578125" style="220" customWidth="1"/>
    <col min="7142" max="7142" width="20.28515625" style="220" bestFit="1" customWidth="1"/>
    <col min="7143" max="7145" width="20.28515625" style="220" customWidth="1"/>
    <col min="7146" max="7146" width="20.28515625" style="220" bestFit="1" customWidth="1"/>
    <col min="7147" max="7147" width="15.42578125" style="220" customWidth="1"/>
    <col min="7148" max="7148" width="20.7109375" style="220" bestFit="1" customWidth="1"/>
    <col min="7149" max="7151" width="20.7109375" style="220" customWidth="1"/>
    <col min="7152" max="7152" width="20.7109375" style="220" bestFit="1" customWidth="1"/>
    <col min="7153" max="7153" width="12.140625" style="220" customWidth="1"/>
    <col min="7154" max="7382" width="8.7109375" style="220" customWidth="1"/>
    <col min="7383" max="7383" width="7.28515625" style="220" customWidth="1"/>
    <col min="7384" max="7384" width="18.28515625" style="220" customWidth="1"/>
    <col min="7385" max="7385" width="23.42578125" style="220" bestFit="1" customWidth="1"/>
    <col min="7386" max="7387" width="10.140625" style="220" bestFit="1" customWidth="1"/>
    <col min="7388" max="7390" width="10.140625" style="220" customWidth="1"/>
    <col min="7391" max="7391" width="16.28515625" style="220" customWidth="1"/>
    <col min="7392" max="7392" width="20.28515625" style="220" bestFit="1" customWidth="1"/>
    <col min="7393" max="7395" width="20.28515625" style="220" customWidth="1"/>
    <col min="7396" max="7396" width="20.28515625" style="220" bestFit="1" customWidth="1"/>
    <col min="7397" max="7397" width="15.42578125" style="220" customWidth="1"/>
    <col min="7398" max="7398" width="20.28515625" style="220" bestFit="1" customWidth="1"/>
    <col min="7399" max="7401" width="20.28515625" style="220" customWidth="1"/>
    <col min="7402" max="7402" width="20.28515625" style="220" bestFit="1" customWidth="1"/>
    <col min="7403" max="7403" width="15.42578125" style="220" customWidth="1"/>
    <col min="7404" max="7404" width="20.7109375" style="220" bestFit="1" customWidth="1"/>
    <col min="7405" max="7407" width="20.7109375" style="220" customWidth="1"/>
    <col min="7408" max="7408" width="20.7109375" style="220" bestFit="1" customWidth="1"/>
    <col min="7409" max="7409" width="12.140625" style="220" customWidth="1"/>
    <col min="7410" max="7638" width="8.7109375" style="220" customWidth="1"/>
    <col min="7639" max="7639" width="7.28515625" style="220" customWidth="1"/>
    <col min="7640" max="7640" width="18.28515625" style="220" customWidth="1"/>
    <col min="7641" max="7641" width="23.42578125" style="220" bestFit="1" customWidth="1"/>
    <col min="7642" max="7643" width="10.140625" style="220" bestFit="1" customWidth="1"/>
    <col min="7644" max="7646" width="10.140625" style="220" customWidth="1"/>
    <col min="7647" max="7647" width="16.28515625" style="220" customWidth="1"/>
    <col min="7648" max="7648" width="20.28515625" style="220" bestFit="1" customWidth="1"/>
    <col min="7649" max="7651" width="20.28515625" style="220" customWidth="1"/>
    <col min="7652" max="7652" width="20.28515625" style="220" bestFit="1" customWidth="1"/>
    <col min="7653" max="7653" width="15.42578125" style="220" customWidth="1"/>
    <col min="7654" max="7654" width="20.28515625" style="220" bestFit="1" customWidth="1"/>
    <col min="7655" max="7657" width="20.28515625" style="220" customWidth="1"/>
    <col min="7658" max="7658" width="20.28515625" style="220" bestFit="1" customWidth="1"/>
    <col min="7659" max="7659" width="15.42578125" style="220" customWidth="1"/>
    <col min="7660" max="7660" width="20.7109375" style="220" bestFit="1" customWidth="1"/>
    <col min="7661" max="7663" width="20.7109375" style="220" customWidth="1"/>
    <col min="7664" max="7664" width="20.7109375" style="220" bestFit="1" customWidth="1"/>
    <col min="7665" max="7665" width="12.140625" style="220" customWidth="1"/>
    <col min="7666" max="7894" width="8.7109375" style="220" customWidth="1"/>
    <col min="7895" max="7895" width="7.28515625" style="220" customWidth="1"/>
    <col min="7896" max="7896" width="18.28515625" style="220" customWidth="1"/>
    <col min="7897" max="7897" width="23.42578125" style="220" bestFit="1" customWidth="1"/>
    <col min="7898" max="7899" width="10.140625" style="220" bestFit="1" customWidth="1"/>
    <col min="7900" max="7902" width="10.140625" style="220" customWidth="1"/>
    <col min="7903" max="7903" width="16.28515625" style="220" customWidth="1"/>
    <col min="7904" max="7904" width="20.28515625" style="220" bestFit="1" customWidth="1"/>
    <col min="7905" max="7907" width="20.28515625" style="220" customWidth="1"/>
    <col min="7908" max="7908" width="20.28515625" style="220" bestFit="1" customWidth="1"/>
    <col min="7909" max="7909" width="15.42578125" style="220" customWidth="1"/>
    <col min="7910" max="7910" width="20.28515625" style="220" bestFit="1" customWidth="1"/>
    <col min="7911" max="7913" width="20.28515625" style="220" customWidth="1"/>
    <col min="7914" max="7914" width="20.28515625" style="220" bestFit="1" customWidth="1"/>
    <col min="7915" max="7915" width="15.42578125" style="220" customWidth="1"/>
    <col min="7916" max="7916" width="20.7109375" style="220" bestFit="1" customWidth="1"/>
    <col min="7917" max="7919" width="20.7109375" style="220" customWidth="1"/>
    <col min="7920" max="7920" width="20.7109375" style="220" bestFit="1" customWidth="1"/>
    <col min="7921" max="7921" width="12.140625" style="220" customWidth="1"/>
    <col min="7922" max="8150" width="8.7109375" style="220" customWidth="1"/>
    <col min="8151" max="8151" width="7.28515625" style="220" customWidth="1"/>
    <col min="8152" max="8152" width="18.28515625" style="220" customWidth="1"/>
    <col min="8153" max="8153" width="23.42578125" style="220" bestFit="1" customWidth="1"/>
    <col min="8154" max="8155" width="10.140625" style="220" bestFit="1" customWidth="1"/>
    <col min="8156" max="8158" width="10.140625" style="220" customWidth="1"/>
    <col min="8159" max="8159" width="16.28515625" style="220" customWidth="1"/>
    <col min="8160" max="8160" width="20.28515625" style="220" bestFit="1" customWidth="1"/>
    <col min="8161" max="8163" width="20.28515625" style="220" customWidth="1"/>
    <col min="8164" max="8164" width="20.28515625" style="220" bestFit="1" customWidth="1"/>
    <col min="8165" max="8165" width="15.42578125" style="220" customWidth="1"/>
    <col min="8166" max="8166" width="20.28515625" style="220" bestFit="1" customWidth="1"/>
    <col min="8167" max="8169" width="20.28515625" style="220" customWidth="1"/>
    <col min="8170" max="8170" width="20.28515625" style="220" bestFit="1" customWidth="1"/>
    <col min="8171" max="8171" width="15.42578125" style="220" customWidth="1"/>
    <col min="8172" max="8172" width="20.7109375" style="220" bestFit="1" customWidth="1"/>
    <col min="8173" max="8175" width="20.7109375" style="220" customWidth="1"/>
    <col min="8176" max="8176" width="20.7109375" style="220" bestFit="1" customWidth="1"/>
    <col min="8177" max="8177" width="12.140625" style="220" customWidth="1"/>
    <col min="8178" max="8406" width="8.7109375" style="220" customWidth="1"/>
    <col min="8407" max="8407" width="7.28515625" style="220" customWidth="1"/>
    <col min="8408" max="8408" width="18.28515625" style="220" customWidth="1"/>
    <col min="8409" max="8409" width="23.42578125" style="220" bestFit="1" customWidth="1"/>
    <col min="8410" max="8411" width="10.140625" style="220" bestFit="1" customWidth="1"/>
    <col min="8412" max="8414" width="10.140625" style="220" customWidth="1"/>
    <col min="8415" max="8415" width="16.28515625" style="220" customWidth="1"/>
    <col min="8416" max="8416" width="20.28515625" style="220" bestFit="1" customWidth="1"/>
    <col min="8417" max="8419" width="20.28515625" style="220" customWidth="1"/>
    <col min="8420" max="8420" width="20.28515625" style="220" bestFit="1" customWidth="1"/>
    <col min="8421" max="8421" width="15.42578125" style="220" customWidth="1"/>
    <col min="8422" max="8422" width="20.28515625" style="220" bestFit="1" customWidth="1"/>
    <col min="8423" max="8425" width="20.28515625" style="220" customWidth="1"/>
    <col min="8426" max="8426" width="20.28515625" style="220" bestFit="1" customWidth="1"/>
    <col min="8427" max="8427" width="15.42578125" style="220" customWidth="1"/>
    <col min="8428" max="8428" width="20.7109375" style="220" bestFit="1" customWidth="1"/>
    <col min="8429" max="8431" width="20.7109375" style="220" customWidth="1"/>
    <col min="8432" max="8432" width="20.7109375" style="220" bestFit="1" customWidth="1"/>
    <col min="8433" max="8433" width="12.140625" style="220" customWidth="1"/>
    <col min="8434" max="8662" width="8.7109375" style="220" customWidth="1"/>
    <col min="8663" max="8663" width="7.28515625" style="220" customWidth="1"/>
    <col min="8664" max="8664" width="18.28515625" style="220" customWidth="1"/>
    <col min="8665" max="8665" width="23.42578125" style="220" bestFit="1" customWidth="1"/>
    <col min="8666" max="8667" width="10.140625" style="220" bestFit="1" customWidth="1"/>
    <col min="8668" max="8670" width="10.140625" style="220" customWidth="1"/>
    <col min="8671" max="8671" width="16.28515625" style="220" customWidth="1"/>
    <col min="8672" max="8672" width="20.28515625" style="220" bestFit="1" customWidth="1"/>
    <col min="8673" max="8675" width="20.28515625" style="220" customWidth="1"/>
    <col min="8676" max="8676" width="20.28515625" style="220" bestFit="1" customWidth="1"/>
    <col min="8677" max="8677" width="15.42578125" style="220" customWidth="1"/>
    <col min="8678" max="8678" width="20.28515625" style="220" bestFit="1" customWidth="1"/>
    <col min="8679" max="8681" width="20.28515625" style="220" customWidth="1"/>
    <col min="8682" max="8682" width="20.28515625" style="220" bestFit="1" customWidth="1"/>
    <col min="8683" max="8683" width="15.42578125" style="220" customWidth="1"/>
    <col min="8684" max="8684" width="20.7109375" style="220" bestFit="1" customWidth="1"/>
    <col min="8685" max="8687" width="20.7109375" style="220" customWidth="1"/>
    <col min="8688" max="8688" width="20.7109375" style="220" bestFit="1" customWidth="1"/>
    <col min="8689" max="8689" width="12.140625" style="220" customWidth="1"/>
    <col min="8690" max="8918" width="8.7109375" style="220" customWidth="1"/>
    <col min="8919" max="8919" width="7.28515625" style="220" customWidth="1"/>
    <col min="8920" max="8920" width="18.28515625" style="220" customWidth="1"/>
    <col min="8921" max="8921" width="23.42578125" style="220" bestFit="1" customWidth="1"/>
    <col min="8922" max="8923" width="10.140625" style="220" bestFit="1" customWidth="1"/>
    <col min="8924" max="8926" width="10.140625" style="220" customWidth="1"/>
    <col min="8927" max="8927" width="16.28515625" style="220" customWidth="1"/>
    <col min="8928" max="8928" width="20.28515625" style="220" bestFit="1" customWidth="1"/>
    <col min="8929" max="8931" width="20.28515625" style="220" customWidth="1"/>
    <col min="8932" max="8932" width="20.28515625" style="220" bestFit="1" customWidth="1"/>
    <col min="8933" max="8933" width="15.42578125" style="220" customWidth="1"/>
    <col min="8934" max="8934" width="20.28515625" style="220" bestFit="1" customWidth="1"/>
    <col min="8935" max="8937" width="20.28515625" style="220" customWidth="1"/>
    <col min="8938" max="8938" width="20.28515625" style="220" bestFit="1" customWidth="1"/>
    <col min="8939" max="8939" width="15.42578125" style="220" customWidth="1"/>
    <col min="8940" max="8940" width="20.7109375" style="220" bestFit="1" customWidth="1"/>
    <col min="8941" max="8943" width="20.7109375" style="220" customWidth="1"/>
    <col min="8944" max="8944" width="20.7109375" style="220" bestFit="1" customWidth="1"/>
    <col min="8945" max="8945" width="12.140625" style="220" customWidth="1"/>
    <col min="8946" max="9174" width="8.7109375" style="220" customWidth="1"/>
    <col min="9175" max="9175" width="7.28515625" style="220" customWidth="1"/>
    <col min="9176" max="9176" width="18.28515625" style="220" customWidth="1"/>
    <col min="9177" max="9177" width="23.42578125" style="220" bestFit="1" customWidth="1"/>
    <col min="9178" max="9179" width="10.140625" style="220" bestFit="1" customWidth="1"/>
    <col min="9180" max="9182" width="10.140625" style="220" customWidth="1"/>
    <col min="9183" max="9183" width="16.28515625" style="220" customWidth="1"/>
    <col min="9184" max="9184" width="20.28515625" style="220" bestFit="1" customWidth="1"/>
    <col min="9185" max="9187" width="20.28515625" style="220" customWidth="1"/>
    <col min="9188" max="9188" width="20.28515625" style="220" bestFit="1" customWidth="1"/>
    <col min="9189" max="9189" width="15.42578125" style="220" customWidth="1"/>
    <col min="9190" max="9190" width="20.28515625" style="220" bestFit="1" customWidth="1"/>
    <col min="9191" max="9193" width="20.28515625" style="220" customWidth="1"/>
    <col min="9194" max="9194" width="20.28515625" style="220" bestFit="1" customWidth="1"/>
    <col min="9195" max="9195" width="15.42578125" style="220" customWidth="1"/>
    <col min="9196" max="9196" width="20.7109375" style="220" bestFit="1" customWidth="1"/>
    <col min="9197" max="9199" width="20.7109375" style="220" customWidth="1"/>
    <col min="9200" max="9200" width="20.7109375" style="220" bestFit="1" customWidth="1"/>
    <col min="9201" max="9201" width="12.140625" style="220" customWidth="1"/>
    <col min="9202" max="9430" width="8.7109375" style="220" customWidth="1"/>
    <col min="9431" max="9431" width="7.28515625" style="220" customWidth="1"/>
    <col min="9432" max="9432" width="18.28515625" style="220" customWidth="1"/>
    <col min="9433" max="9433" width="23.42578125" style="220" bestFit="1" customWidth="1"/>
    <col min="9434" max="9435" width="10.140625" style="220" bestFit="1" customWidth="1"/>
    <col min="9436" max="9438" width="10.140625" style="220" customWidth="1"/>
    <col min="9439" max="9439" width="16.28515625" style="220" customWidth="1"/>
    <col min="9440" max="9440" width="20.28515625" style="220" bestFit="1" customWidth="1"/>
    <col min="9441" max="9443" width="20.28515625" style="220" customWidth="1"/>
    <col min="9444" max="9444" width="20.28515625" style="220" bestFit="1" customWidth="1"/>
    <col min="9445" max="9445" width="15.42578125" style="220" customWidth="1"/>
    <col min="9446" max="9446" width="20.28515625" style="220" bestFit="1" customWidth="1"/>
    <col min="9447" max="9449" width="20.28515625" style="220" customWidth="1"/>
    <col min="9450" max="9450" width="20.28515625" style="220" bestFit="1" customWidth="1"/>
    <col min="9451" max="9451" width="15.42578125" style="220" customWidth="1"/>
    <col min="9452" max="9452" width="20.7109375" style="220" bestFit="1" customWidth="1"/>
    <col min="9453" max="9455" width="20.7109375" style="220" customWidth="1"/>
    <col min="9456" max="9456" width="20.7109375" style="220" bestFit="1" customWidth="1"/>
    <col min="9457" max="9457" width="12.140625" style="220" customWidth="1"/>
    <col min="9458" max="9686" width="8.7109375" style="220" customWidth="1"/>
    <col min="9687" max="9687" width="7.28515625" style="220" customWidth="1"/>
    <col min="9688" max="9688" width="18.28515625" style="220" customWidth="1"/>
    <col min="9689" max="9689" width="23.42578125" style="220" bestFit="1" customWidth="1"/>
    <col min="9690" max="9691" width="10.140625" style="220" bestFit="1" customWidth="1"/>
    <col min="9692" max="9694" width="10.140625" style="220" customWidth="1"/>
    <col min="9695" max="9695" width="16.28515625" style="220" customWidth="1"/>
    <col min="9696" max="9696" width="20.28515625" style="220" bestFit="1" customWidth="1"/>
    <col min="9697" max="9699" width="20.28515625" style="220" customWidth="1"/>
    <col min="9700" max="9700" width="20.28515625" style="220" bestFit="1" customWidth="1"/>
    <col min="9701" max="9701" width="15.42578125" style="220" customWidth="1"/>
    <col min="9702" max="9702" width="20.28515625" style="220" bestFit="1" customWidth="1"/>
    <col min="9703" max="9705" width="20.28515625" style="220" customWidth="1"/>
    <col min="9706" max="9706" width="20.28515625" style="220" bestFit="1" customWidth="1"/>
    <col min="9707" max="9707" width="15.42578125" style="220" customWidth="1"/>
    <col min="9708" max="9708" width="20.7109375" style="220" bestFit="1" customWidth="1"/>
    <col min="9709" max="9711" width="20.7109375" style="220" customWidth="1"/>
    <col min="9712" max="9712" width="20.7109375" style="220" bestFit="1" customWidth="1"/>
    <col min="9713" max="9713" width="12.140625" style="220" customWidth="1"/>
    <col min="9714" max="9942" width="8.7109375" style="220" customWidth="1"/>
    <col min="9943" max="9943" width="7.28515625" style="220" customWidth="1"/>
    <col min="9944" max="9944" width="18.28515625" style="220" customWidth="1"/>
    <col min="9945" max="9945" width="23.42578125" style="220" bestFit="1" customWidth="1"/>
    <col min="9946" max="9947" width="10.140625" style="220" bestFit="1" customWidth="1"/>
    <col min="9948" max="9950" width="10.140625" style="220" customWidth="1"/>
    <col min="9951" max="9951" width="16.28515625" style="220" customWidth="1"/>
    <col min="9952" max="9952" width="20.28515625" style="220" bestFit="1" customWidth="1"/>
    <col min="9953" max="9955" width="20.28515625" style="220" customWidth="1"/>
    <col min="9956" max="9956" width="20.28515625" style="220" bestFit="1" customWidth="1"/>
    <col min="9957" max="9957" width="15.42578125" style="220" customWidth="1"/>
    <col min="9958" max="9958" width="20.28515625" style="220" bestFit="1" customWidth="1"/>
    <col min="9959" max="9961" width="20.28515625" style="220" customWidth="1"/>
    <col min="9962" max="9962" width="20.28515625" style="220" bestFit="1" customWidth="1"/>
    <col min="9963" max="9963" width="15.42578125" style="220" customWidth="1"/>
    <col min="9964" max="9964" width="20.7109375" style="220" bestFit="1" customWidth="1"/>
    <col min="9965" max="9967" width="20.7109375" style="220" customWidth="1"/>
    <col min="9968" max="9968" width="20.7109375" style="220" bestFit="1" customWidth="1"/>
    <col min="9969" max="9969" width="12.140625" style="220" customWidth="1"/>
    <col min="9970" max="10198" width="8.7109375" style="220" customWidth="1"/>
    <col min="10199" max="10199" width="7.28515625" style="220" customWidth="1"/>
    <col min="10200" max="10200" width="18.28515625" style="220" customWidth="1"/>
    <col min="10201" max="10201" width="23.42578125" style="220" bestFit="1" customWidth="1"/>
    <col min="10202" max="10203" width="10.140625" style="220" bestFit="1" customWidth="1"/>
    <col min="10204" max="10206" width="10.140625" style="220" customWidth="1"/>
    <col min="10207" max="10207" width="16.28515625" style="220" customWidth="1"/>
    <col min="10208" max="10208" width="20.28515625" style="220" bestFit="1" customWidth="1"/>
    <col min="10209" max="10211" width="20.28515625" style="220" customWidth="1"/>
    <col min="10212" max="10212" width="20.28515625" style="220" bestFit="1" customWidth="1"/>
    <col min="10213" max="10213" width="15.42578125" style="220" customWidth="1"/>
    <col min="10214" max="10214" width="20.28515625" style="220" bestFit="1" customWidth="1"/>
    <col min="10215" max="10217" width="20.28515625" style="220" customWidth="1"/>
    <col min="10218" max="10218" width="20.28515625" style="220" bestFit="1" customWidth="1"/>
    <col min="10219" max="10219" width="15.42578125" style="220" customWidth="1"/>
    <col min="10220" max="10220" width="20.7109375" style="220" bestFit="1" customWidth="1"/>
    <col min="10221" max="10223" width="20.7109375" style="220" customWidth="1"/>
    <col min="10224" max="10224" width="20.7109375" style="220" bestFit="1" customWidth="1"/>
    <col min="10225" max="10225" width="12.140625" style="220" customWidth="1"/>
    <col min="10226" max="10454" width="8.7109375" style="220" customWidth="1"/>
    <col min="10455" max="10455" width="7.28515625" style="220" customWidth="1"/>
    <col min="10456" max="10456" width="18.28515625" style="220" customWidth="1"/>
    <col min="10457" max="10457" width="23.42578125" style="220" bestFit="1" customWidth="1"/>
    <col min="10458" max="10459" width="10.140625" style="220" bestFit="1" customWidth="1"/>
    <col min="10460" max="10462" width="10.140625" style="220" customWidth="1"/>
    <col min="10463" max="10463" width="16.28515625" style="220" customWidth="1"/>
    <col min="10464" max="10464" width="20.28515625" style="220" bestFit="1" customWidth="1"/>
    <col min="10465" max="10467" width="20.28515625" style="220" customWidth="1"/>
    <col min="10468" max="10468" width="20.28515625" style="220" bestFit="1" customWidth="1"/>
    <col min="10469" max="10469" width="15.42578125" style="220" customWidth="1"/>
    <col min="10470" max="10470" width="20.28515625" style="220" bestFit="1" customWidth="1"/>
    <col min="10471" max="10473" width="20.28515625" style="220" customWidth="1"/>
    <col min="10474" max="10474" width="20.28515625" style="220" bestFit="1" customWidth="1"/>
    <col min="10475" max="10475" width="15.42578125" style="220" customWidth="1"/>
    <col min="10476" max="10476" width="20.7109375" style="220" bestFit="1" customWidth="1"/>
    <col min="10477" max="10479" width="20.7109375" style="220" customWidth="1"/>
    <col min="10480" max="10480" width="20.7109375" style="220" bestFit="1" customWidth="1"/>
    <col min="10481" max="10481" width="12.140625" style="220" customWidth="1"/>
    <col min="10482" max="10710" width="8.7109375" style="220" customWidth="1"/>
    <col min="10711" max="10711" width="7.28515625" style="220" customWidth="1"/>
    <col min="10712" max="10712" width="18.28515625" style="220" customWidth="1"/>
    <col min="10713" max="10713" width="23.42578125" style="220" bestFit="1" customWidth="1"/>
    <col min="10714" max="10715" width="10.140625" style="220" bestFit="1" customWidth="1"/>
    <col min="10716" max="10718" width="10.140625" style="220" customWidth="1"/>
    <col min="10719" max="10719" width="16.28515625" style="220" customWidth="1"/>
    <col min="10720" max="10720" width="20.28515625" style="220" bestFit="1" customWidth="1"/>
    <col min="10721" max="10723" width="20.28515625" style="220" customWidth="1"/>
    <col min="10724" max="10724" width="20.28515625" style="220" bestFit="1" customWidth="1"/>
    <col min="10725" max="10725" width="15.42578125" style="220" customWidth="1"/>
    <col min="10726" max="10726" width="20.28515625" style="220" bestFit="1" customWidth="1"/>
    <col min="10727" max="10729" width="20.28515625" style="220" customWidth="1"/>
    <col min="10730" max="10730" width="20.28515625" style="220" bestFit="1" customWidth="1"/>
    <col min="10731" max="10731" width="15.42578125" style="220" customWidth="1"/>
    <col min="10732" max="10732" width="20.7109375" style="220" bestFit="1" customWidth="1"/>
    <col min="10733" max="10735" width="20.7109375" style="220" customWidth="1"/>
    <col min="10736" max="10736" width="20.7109375" style="220" bestFit="1" customWidth="1"/>
    <col min="10737" max="10737" width="12.140625" style="220" customWidth="1"/>
    <col min="10738" max="10966" width="8.7109375" style="220" customWidth="1"/>
    <col min="10967" max="10967" width="7.28515625" style="220" customWidth="1"/>
    <col min="10968" max="10968" width="18.28515625" style="220" customWidth="1"/>
    <col min="10969" max="10969" width="23.42578125" style="220" bestFit="1" customWidth="1"/>
    <col min="10970" max="10971" width="10.140625" style="220" bestFit="1" customWidth="1"/>
    <col min="10972" max="10974" width="10.140625" style="220" customWidth="1"/>
    <col min="10975" max="10975" width="16.28515625" style="220" customWidth="1"/>
    <col min="10976" max="10976" width="20.28515625" style="220" bestFit="1" customWidth="1"/>
    <col min="10977" max="10979" width="20.28515625" style="220" customWidth="1"/>
    <col min="10980" max="10980" width="20.28515625" style="220" bestFit="1" customWidth="1"/>
    <col min="10981" max="10981" width="15.42578125" style="220" customWidth="1"/>
    <col min="10982" max="10982" width="20.28515625" style="220" bestFit="1" customWidth="1"/>
    <col min="10983" max="10985" width="20.28515625" style="220" customWidth="1"/>
    <col min="10986" max="10986" width="20.28515625" style="220" bestFit="1" customWidth="1"/>
    <col min="10987" max="10987" width="15.42578125" style="220" customWidth="1"/>
    <col min="10988" max="10988" width="20.7109375" style="220" bestFit="1" customWidth="1"/>
    <col min="10989" max="10991" width="20.7109375" style="220" customWidth="1"/>
    <col min="10992" max="10992" width="20.7109375" style="220" bestFit="1" customWidth="1"/>
    <col min="10993" max="10993" width="12.140625" style="220" customWidth="1"/>
    <col min="10994" max="11222" width="8.7109375" style="220" customWidth="1"/>
    <col min="11223" max="11223" width="7.28515625" style="220" customWidth="1"/>
    <col min="11224" max="11224" width="18.28515625" style="220" customWidth="1"/>
    <col min="11225" max="11225" width="23.42578125" style="220" bestFit="1" customWidth="1"/>
    <col min="11226" max="11227" width="10.140625" style="220" bestFit="1" customWidth="1"/>
    <col min="11228" max="11230" width="10.140625" style="220" customWidth="1"/>
    <col min="11231" max="11231" width="16.28515625" style="220" customWidth="1"/>
    <col min="11232" max="11232" width="20.28515625" style="220" bestFit="1" customWidth="1"/>
    <col min="11233" max="11235" width="20.28515625" style="220" customWidth="1"/>
    <col min="11236" max="11236" width="20.28515625" style="220" bestFit="1" customWidth="1"/>
    <col min="11237" max="11237" width="15.42578125" style="220" customWidth="1"/>
    <col min="11238" max="11238" width="20.28515625" style="220" bestFit="1" customWidth="1"/>
    <col min="11239" max="11241" width="20.28515625" style="220" customWidth="1"/>
    <col min="11242" max="11242" width="20.28515625" style="220" bestFit="1" customWidth="1"/>
    <col min="11243" max="11243" width="15.42578125" style="220" customWidth="1"/>
    <col min="11244" max="11244" width="20.7109375" style="220" bestFit="1" customWidth="1"/>
    <col min="11245" max="11247" width="20.7109375" style="220" customWidth="1"/>
    <col min="11248" max="11248" width="20.7109375" style="220" bestFit="1" customWidth="1"/>
    <col min="11249" max="11249" width="12.140625" style="220" customWidth="1"/>
    <col min="11250" max="11478" width="8.7109375" style="220" customWidth="1"/>
    <col min="11479" max="11479" width="7.28515625" style="220" customWidth="1"/>
    <col min="11480" max="11480" width="18.28515625" style="220" customWidth="1"/>
    <col min="11481" max="11481" width="23.42578125" style="220" bestFit="1" customWidth="1"/>
    <col min="11482" max="11483" width="10.140625" style="220" bestFit="1" customWidth="1"/>
    <col min="11484" max="11486" width="10.140625" style="220" customWidth="1"/>
    <col min="11487" max="11487" width="16.28515625" style="220" customWidth="1"/>
    <col min="11488" max="11488" width="20.28515625" style="220" bestFit="1" customWidth="1"/>
    <col min="11489" max="11491" width="20.28515625" style="220" customWidth="1"/>
    <col min="11492" max="11492" width="20.28515625" style="220" bestFit="1" customWidth="1"/>
    <col min="11493" max="11493" width="15.42578125" style="220" customWidth="1"/>
    <col min="11494" max="11494" width="20.28515625" style="220" bestFit="1" customWidth="1"/>
    <col min="11495" max="11497" width="20.28515625" style="220" customWidth="1"/>
    <col min="11498" max="11498" width="20.28515625" style="220" bestFit="1" customWidth="1"/>
    <col min="11499" max="11499" width="15.42578125" style="220" customWidth="1"/>
    <col min="11500" max="11500" width="20.7109375" style="220" bestFit="1" customWidth="1"/>
    <col min="11501" max="11503" width="20.7109375" style="220" customWidth="1"/>
    <col min="11504" max="11504" width="20.7109375" style="220" bestFit="1" customWidth="1"/>
    <col min="11505" max="11505" width="12.140625" style="220" customWidth="1"/>
    <col min="11506" max="11734" width="8.7109375" style="220" customWidth="1"/>
    <col min="11735" max="11735" width="7.28515625" style="220" customWidth="1"/>
    <col min="11736" max="11736" width="18.28515625" style="220" customWidth="1"/>
    <col min="11737" max="11737" width="23.42578125" style="220" bestFit="1" customWidth="1"/>
    <col min="11738" max="11739" width="10.140625" style="220" bestFit="1" customWidth="1"/>
    <col min="11740" max="11742" width="10.140625" style="220" customWidth="1"/>
    <col min="11743" max="11743" width="16.28515625" style="220" customWidth="1"/>
    <col min="11744" max="11744" width="20.28515625" style="220" bestFit="1" customWidth="1"/>
    <col min="11745" max="11747" width="20.28515625" style="220" customWidth="1"/>
    <col min="11748" max="11748" width="20.28515625" style="220" bestFit="1" customWidth="1"/>
    <col min="11749" max="11749" width="15.42578125" style="220" customWidth="1"/>
    <col min="11750" max="11750" width="20.28515625" style="220" bestFit="1" customWidth="1"/>
    <col min="11751" max="11753" width="20.28515625" style="220" customWidth="1"/>
    <col min="11754" max="11754" width="20.28515625" style="220" bestFit="1" customWidth="1"/>
    <col min="11755" max="11755" width="15.42578125" style="220" customWidth="1"/>
    <col min="11756" max="11756" width="20.7109375" style="220" bestFit="1" customWidth="1"/>
    <col min="11757" max="11759" width="20.7109375" style="220" customWidth="1"/>
    <col min="11760" max="11760" width="20.7109375" style="220" bestFit="1" customWidth="1"/>
    <col min="11761" max="11761" width="12.140625" style="220" customWidth="1"/>
    <col min="11762" max="11990" width="8.7109375" style="220" customWidth="1"/>
    <col min="11991" max="11991" width="7.28515625" style="220" customWidth="1"/>
    <col min="11992" max="11992" width="18.28515625" style="220" customWidth="1"/>
    <col min="11993" max="11993" width="23.42578125" style="220" bestFit="1" customWidth="1"/>
    <col min="11994" max="11995" width="10.140625" style="220" bestFit="1" customWidth="1"/>
    <col min="11996" max="11998" width="10.140625" style="220" customWidth="1"/>
    <col min="11999" max="11999" width="16.28515625" style="220" customWidth="1"/>
    <col min="12000" max="12000" width="20.28515625" style="220" bestFit="1" customWidth="1"/>
    <col min="12001" max="12003" width="20.28515625" style="220" customWidth="1"/>
    <col min="12004" max="12004" width="20.28515625" style="220" bestFit="1" customWidth="1"/>
    <col min="12005" max="12005" width="15.42578125" style="220" customWidth="1"/>
    <col min="12006" max="12006" width="20.28515625" style="220" bestFit="1" customWidth="1"/>
    <col min="12007" max="12009" width="20.28515625" style="220" customWidth="1"/>
    <col min="12010" max="12010" width="20.28515625" style="220" bestFit="1" customWidth="1"/>
    <col min="12011" max="12011" width="15.42578125" style="220" customWidth="1"/>
    <col min="12012" max="12012" width="20.7109375" style="220" bestFit="1" customWidth="1"/>
    <col min="12013" max="12015" width="20.7109375" style="220" customWidth="1"/>
    <col min="12016" max="12016" width="20.7109375" style="220" bestFit="1" customWidth="1"/>
    <col min="12017" max="12017" width="12.140625" style="220" customWidth="1"/>
    <col min="12018" max="12246" width="8.7109375" style="220" customWidth="1"/>
    <col min="12247" max="12247" width="7.28515625" style="220" customWidth="1"/>
    <col min="12248" max="12248" width="18.28515625" style="220" customWidth="1"/>
    <col min="12249" max="12249" width="23.42578125" style="220" bestFit="1" customWidth="1"/>
    <col min="12250" max="12251" width="10.140625" style="220" bestFit="1" customWidth="1"/>
    <col min="12252" max="12254" width="10.140625" style="220" customWidth="1"/>
    <col min="12255" max="12255" width="16.28515625" style="220" customWidth="1"/>
    <col min="12256" max="12256" width="20.28515625" style="220" bestFit="1" customWidth="1"/>
    <col min="12257" max="12259" width="20.28515625" style="220" customWidth="1"/>
    <col min="12260" max="12260" width="20.28515625" style="220" bestFit="1" customWidth="1"/>
    <col min="12261" max="12261" width="15.42578125" style="220" customWidth="1"/>
    <col min="12262" max="12262" width="20.28515625" style="220" bestFit="1" customWidth="1"/>
    <col min="12263" max="12265" width="20.28515625" style="220" customWidth="1"/>
    <col min="12266" max="12266" width="20.28515625" style="220" bestFit="1" customWidth="1"/>
    <col min="12267" max="12267" width="15.42578125" style="220" customWidth="1"/>
    <col min="12268" max="12268" width="20.7109375" style="220" bestFit="1" customWidth="1"/>
    <col min="12269" max="12271" width="20.7109375" style="220" customWidth="1"/>
    <col min="12272" max="12272" width="20.7109375" style="220" bestFit="1" customWidth="1"/>
    <col min="12273" max="12273" width="12.140625" style="220" customWidth="1"/>
    <col min="12274" max="12502" width="8.7109375" style="220" customWidth="1"/>
    <col min="12503" max="12503" width="7.28515625" style="220" customWidth="1"/>
    <col min="12504" max="12504" width="18.28515625" style="220" customWidth="1"/>
    <col min="12505" max="12505" width="23.42578125" style="220" bestFit="1" customWidth="1"/>
    <col min="12506" max="12507" width="10.140625" style="220" bestFit="1" customWidth="1"/>
    <col min="12508" max="12510" width="10.140625" style="220" customWidth="1"/>
    <col min="12511" max="12511" width="16.28515625" style="220" customWidth="1"/>
    <col min="12512" max="12512" width="20.28515625" style="220" bestFit="1" customWidth="1"/>
    <col min="12513" max="12515" width="20.28515625" style="220" customWidth="1"/>
    <col min="12516" max="12516" width="20.28515625" style="220" bestFit="1" customWidth="1"/>
    <col min="12517" max="12517" width="15.42578125" style="220" customWidth="1"/>
    <col min="12518" max="12518" width="20.28515625" style="220" bestFit="1" customWidth="1"/>
    <col min="12519" max="12521" width="20.28515625" style="220" customWidth="1"/>
    <col min="12522" max="12522" width="20.28515625" style="220" bestFit="1" customWidth="1"/>
    <col min="12523" max="12523" width="15.42578125" style="220" customWidth="1"/>
    <col min="12524" max="12524" width="20.7109375" style="220" bestFit="1" customWidth="1"/>
    <col min="12525" max="12527" width="20.7109375" style="220" customWidth="1"/>
    <col min="12528" max="12528" width="20.7109375" style="220" bestFit="1" customWidth="1"/>
    <col min="12529" max="12529" width="12.140625" style="220" customWidth="1"/>
    <col min="12530" max="12758" width="8.7109375" style="220" customWidth="1"/>
    <col min="12759" max="12759" width="7.28515625" style="220" customWidth="1"/>
    <col min="12760" max="12760" width="18.28515625" style="220" customWidth="1"/>
    <col min="12761" max="12761" width="23.42578125" style="220" bestFit="1" customWidth="1"/>
    <col min="12762" max="12763" width="10.140625" style="220" bestFit="1" customWidth="1"/>
    <col min="12764" max="12766" width="10.140625" style="220" customWidth="1"/>
    <col min="12767" max="12767" width="16.28515625" style="220" customWidth="1"/>
    <col min="12768" max="12768" width="20.28515625" style="220" bestFit="1" customWidth="1"/>
    <col min="12769" max="12771" width="20.28515625" style="220" customWidth="1"/>
    <col min="12772" max="12772" width="20.28515625" style="220" bestFit="1" customWidth="1"/>
    <col min="12773" max="12773" width="15.42578125" style="220" customWidth="1"/>
    <col min="12774" max="12774" width="20.28515625" style="220" bestFit="1" customWidth="1"/>
    <col min="12775" max="12777" width="20.28515625" style="220" customWidth="1"/>
    <col min="12778" max="12778" width="20.28515625" style="220" bestFit="1" customWidth="1"/>
    <col min="12779" max="12779" width="15.42578125" style="220" customWidth="1"/>
    <col min="12780" max="12780" width="20.7109375" style="220" bestFit="1" customWidth="1"/>
    <col min="12781" max="12783" width="20.7109375" style="220" customWidth="1"/>
    <col min="12784" max="12784" width="20.7109375" style="220" bestFit="1" customWidth="1"/>
    <col min="12785" max="12785" width="12.140625" style="220" customWidth="1"/>
    <col min="12786" max="13014" width="8.7109375" style="220" customWidth="1"/>
    <col min="13015" max="13015" width="7.28515625" style="220" customWidth="1"/>
    <col min="13016" max="13016" width="18.28515625" style="220" customWidth="1"/>
    <col min="13017" max="13017" width="23.42578125" style="220" bestFit="1" customWidth="1"/>
    <col min="13018" max="13019" width="10.140625" style="220" bestFit="1" customWidth="1"/>
    <col min="13020" max="13022" width="10.140625" style="220" customWidth="1"/>
    <col min="13023" max="13023" width="16.28515625" style="220" customWidth="1"/>
    <col min="13024" max="13024" width="20.28515625" style="220" bestFit="1" customWidth="1"/>
    <col min="13025" max="13027" width="20.28515625" style="220" customWidth="1"/>
    <col min="13028" max="13028" width="20.28515625" style="220" bestFit="1" customWidth="1"/>
    <col min="13029" max="13029" width="15.42578125" style="220" customWidth="1"/>
    <col min="13030" max="13030" width="20.28515625" style="220" bestFit="1" customWidth="1"/>
    <col min="13031" max="13033" width="20.28515625" style="220" customWidth="1"/>
    <col min="13034" max="13034" width="20.28515625" style="220" bestFit="1" customWidth="1"/>
    <col min="13035" max="13035" width="15.42578125" style="220" customWidth="1"/>
    <col min="13036" max="13036" width="20.7109375" style="220" bestFit="1" customWidth="1"/>
    <col min="13037" max="13039" width="20.7109375" style="220" customWidth="1"/>
    <col min="13040" max="13040" width="20.7109375" style="220" bestFit="1" customWidth="1"/>
    <col min="13041" max="13041" width="12.140625" style="220" customWidth="1"/>
    <col min="13042" max="13270" width="8.7109375" style="220" customWidth="1"/>
    <col min="13271" max="13271" width="7.28515625" style="220" customWidth="1"/>
    <col min="13272" max="13272" width="18.28515625" style="220" customWidth="1"/>
    <col min="13273" max="13273" width="23.42578125" style="220" bestFit="1" customWidth="1"/>
    <col min="13274" max="13275" width="10.140625" style="220" bestFit="1" customWidth="1"/>
    <col min="13276" max="13278" width="10.140625" style="220" customWidth="1"/>
    <col min="13279" max="13279" width="16.28515625" style="220" customWidth="1"/>
    <col min="13280" max="13280" width="20.28515625" style="220" bestFit="1" customWidth="1"/>
    <col min="13281" max="13283" width="20.28515625" style="220" customWidth="1"/>
    <col min="13284" max="13284" width="20.28515625" style="220" bestFit="1" customWidth="1"/>
    <col min="13285" max="13285" width="15.42578125" style="220" customWidth="1"/>
    <col min="13286" max="13286" width="20.28515625" style="220" bestFit="1" customWidth="1"/>
    <col min="13287" max="13289" width="20.28515625" style="220" customWidth="1"/>
    <col min="13290" max="13290" width="20.28515625" style="220" bestFit="1" customWidth="1"/>
    <col min="13291" max="13291" width="15.42578125" style="220" customWidth="1"/>
    <col min="13292" max="13292" width="20.7109375" style="220" bestFit="1" customWidth="1"/>
    <col min="13293" max="13295" width="20.7109375" style="220" customWidth="1"/>
    <col min="13296" max="13296" width="20.7109375" style="220" bestFit="1" customWidth="1"/>
    <col min="13297" max="13297" width="12.140625" style="220" customWidth="1"/>
    <col min="13298" max="13526" width="8.7109375" style="220" customWidth="1"/>
    <col min="13527" max="13527" width="7.28515625" style="220" customWidth="1"/>
    <col min="13528" max="13528" width="18.28515625" style="220" customWidth="1"/>
    <col min="13529" max="13529" width="23.42578125" style="220" bestFit="1" customWidth="1"/>
    <col min="13530" max="13531" width="10.140625" style="220" bestFit="1" customWidth="1"/>
    <col min="13532" max="13534" width="10.140625" style="220" customWidth="1"/>
    <col min="13535" max="13535" width="16.28515625" style="220" customWidth="1"/>
    <col min="13536" max="13536" width="20.28515625" style="220" bestFit="1" customWidth="1"/>
    <col min="13537" max="13539" width="20.28515625" style="220" customWidth="1"/>
    <col min="13540" max="13540" width="20.28515625" style="220" bestFit="1" customWidth="1"/>
    <col min="13541" max="13541" width="15.42578125" style="220" customWidth="1"/>
    <col min="13542" max="13542" width="20.28515625" style="220" bestFit="1" customWidth="1"/>
    <col min="13543" max="13545" width="20.28515625" style="220" customWidth="1"/>
    <col min="13546" max="13546" width="20.28515625" style="220" bestFit="1" customWidth="1"/>
    <col min="13547" max="13547" width="15.42578125" style="220" customWidth="1"/>
    <col min="13548" max="13548" width="20.7109375" style="220" bestFit="1" customWidth="1"/>
    <col min="13549" max="13551" width="20.7109375" style="220" customWidth="1"/>
    <col min="13552" max="13552" width="20.7109375" style="220" bestFit="1" customWidth="1"/>
    <col min="13553" max="13553" width="12.140625" style="220" customWidth="1"/>
    <col min="13554" max="13782" width="8.7109375" style="220" customWidth="1"/>
    <col min="13783" max="13783" width="7.28515625" style="220" customWidth="1"/>
    <col min="13784" max="13784" width="18.28515625" style="220" customWidth="1"/>
    <col min="13785" max="13785" width="23.42578125" style="220" bestFit="1" customWidth="1"/>
    <col min="13786" max="13787" width="10.140625" style="220" bestFit="1" customWidth="1"/>
    <col min="13788" max="13790" width="10.140625" style="220" customWidth="1"/>
    <col min="13791" max="13791" width="16.28515625" style="220" customWidth="1"/>
    <col min="13792" max="13792" width="20.28515625" style="220" bestFit="1" customWidth="1"/>
    <col min="13793" max="13795" width="20.28515625" style="220" customWidth="1"/>
    <col min="13796" max="13796" width="20.28515625" style="220" bestFit="1" customWidth="1"/>
    <col min="13797" max="13797" width="15.42578125" style="220" customWidth="1"/>
    <col min="13798" max="13798" width="20.28515625" style="220" bestFit="1" customWidth="1"/>
    <col min="13799" max="13801" width="20.28515625" style="220" customWidth="1"/>
    <col min="13802" max="13802" width="20.28515625" style="220" bestFit="1" customWidth="1"/>
    <col min="13803" max="13803" width="15.42578125" style="220" customWidth="1"/>
    <col min="13804" max="13804" width="20.7109375" style="220" bestFit="1" customWidth="1"/>
    <col min="13805" max="13807" width="20.7109375" style="220" customWidth="1"/>
    <col min="13808" max="13808" width="20.7109375" style="220" bestFit="1" customWidth="1"/>
    <col min="13809" max="13809" width="12.140625" style="220" customWidth="1"/>
    <col min="13810" max="14038" width="8.7109375" style="220" customWidth="1"/>
    <col min="14039" max="14039" width="7.28515625" style="220" customWidth="1"/>
    <col min="14040" max="14040" width="18.28515625" style="220" customWidth="1"/>
    <col min="14041" max="14041" width="23.42578125" style="220" bestFit="1" customWidth="1"/>
    <col min="14042" max="14043" width="10.140625" style="220" bestFit="1" customWidth="1"/>
    <col min="14044" max="14046" width="10.140625" style="220" customWidth="1"/>
    <col min="14047" max="14047" width="16.28515625" style="220" customWidth="1"/>
    <col min="14048" max="14048" width="20.28515625" style="220" bestFit="1" customWidth="1"/>
    <col min="14049" max="14051" width="20.28515625" style="220" customWidth="1"/>
    <col min="14052" max="14052" width="20.28515625" style="220" bestFit="1" customWidth="1"/>
    <col min="14053" max="14053" width="15.42578125" style="220" customWidth="1"/>
    <col min="14054" max="14054" width="20.28515625" style="220" bestFit="1" customWidth="1"/>
    <col min="14055" max="14057" width="20.28515625" style="220" customWidth="1"/>
    <col min="14058" max="14058" width="20.28515625" style="220" bestFit="1" customWidth="1"/>
    <col min="14059" max="14059" width="15.42578125" style="220" customWidth="1"/>
    <col min="14060" max="14060" width="20.7109375" style="220" bestFit="1" customWidth="1"/>
    <col min="14061" max="14063" width="20.7109375" style="220" customWidth="1"/>
    <col min="14064" max="14064" width="20.7109375" style="220" bestFit="1" customWidth="1"/>
    <col min="14065" max="14065" width="12.140625" style="220" customWidth="1"/>
    <col min="14066" max="14294" width="8.7109375" style="220" customWidth="1"/>
    <col min="14295" max="14295" width="7.28515625" style="220" customWidth="1"/>
    <col min="14296" max="14296" width="18.28515625" style="220" customWidth="1"/>
    <col min="14297" max="14297" width="23.42578125" style="220" bestFit="1" customWidth="1"/>
    <col min="14298" max="14299" width="10.140625" style="220" bestFit="1" customWidth="1"/>
    <col min="14300" max="14302" width="10.140625" style="220" customWidth="1"/>
    <col min="14303" max="14303" width="16.28515625" style="220" customWidth="1"/>
    <col min="14304" max="14304" width="20.28515625" style="220" bestFit="1" customWidth="1"/>
    <col min="14305" max="14307" width="20.28515625" style="220" customWidth="1"/>
    <col min="14308" max="14308" width="20.28515625" style="220" bestFit="1" customWidth="1"/>
    <col min="14309" max="14309" width="15.42578125" style="220" customWidth="1"/>
    <col min="14310" max="14310" width="20.28515625" style="220" bestFit="1" customWidth="1"/>
    <col min="14311" max="14313" width="20.28515625" style="220" customWidth="1"/>
    <col min="14314" max="14314" width="20.28515625" style="220" bestFit="1" customWidth="1"/>
    <col min="14315" max="14315" width="15.42578125" style="220" customWidth="1"/>
    <col min="14316" max="14316" width="20.7109375" style="220" bestFit="1" customWidth="1"/>
    <col min="14317" max="14319" width="20.7109375" style="220" customWidth="1"/>
    <col min="14320" max="14320" width="20.7109375" style="220" bestFit="1" customWidth="1"/>
    <col min="14321" max="14321" width="12.140625" style="220" customWidth="1"/>
    <col min="14322" max="14550" width="8.7109375" style="220" customWidth="1"/>
    <col min="14551" max="14551" width="7.28515625" style="220" customWidth="1"/>
    <col min="14552" max="14552" width="18.28515625" style="220" customWidth="1"/>
    <col min="14553" max="14553" width="23.42578125" style="220" bestFit="1" customWidth="1"/>
    <col min="14554" max="14555" width="10.140625" style="220" bestFit="1" customWidth="1"/>
    <col min="14556" max="14558" width="10.140625" style="220" customWidth="1"/>
    <col min="14559" max="14559" width="16.28515625" style="220" customWidth="1"/>
    <col min="14560" max="14560" width="20.28515625" style="220" bestFit="1" customWidth="1"/>
    <col min="14561" max="14563" width="20.28515625" style="220" customWidth="1"/>
    <col min="14564" max="14564" width="20.28515625" style="220" bestFit="1" customWidth="1"/>
    <col min="14565" max="14565" width="15.42578125" style="220" customWidth="1"/>
    <col min="14566" max="14566" width="20.28515625" style="220" bestFit="1" customWidth="1"/>
    <col min="14567" max="14569" width="20.28515625" style="220" customWidth="1"/>
    <col min="14570" max="14570" width="20.28515625" style="220" bestFit="1" customWidth="1"/>
    <col min="14571" max="14571" width="15.42578125" style="220" customWidth="1"/>
    <col min="14572" max="14572" width="20.7109375" style="220" bestFit="1" customWidth="1"/>
    <col min="14573" max="14575" width="20.7109375" style="220" customWidth="1"/>
    <col min="14576" max="14576" width="20.7109375" style="220" bestFit="1" customWidth="1"/>
    <col min="14577" max="14577" width="12.140625" style="220" customWidth="1"/>
    <col min="14578" max="14806" width="8.7109375" style="220" customWidth="1"/>
    <col min="14807" max="14807" width="7.28515625" style="220" customWidth="1"/>
    <col min="14808" max="14808" width="18.28515625" style="220" customWidth="1"/>
    <col min="14809" max="14809" width="23.42578125" style="220" bestFit="1" customWidth="1"/>
    <col min="14810" max="14811" width="10.140625" style="220" bestFit="1" customWidth="1"/>
    <col min="14812" max="14814" width="10.140625" style="220" customWidth="1"/>
    <col min="14815" max="14815" width="16.28515625" style="220" customWidth="1"/>
    <col min="14816" max="14816" width="20.28515625" style="220" bestFit="1" customWidth="1"/>
    <col min="14817" max="14819" width="20.28515625" style="220" customWidth="1"/>
    <col min="14820" max="14820" width="20.28515625" style="220" bestFit="1" customWidth="1"/>
    <col min="14821" max="14821" width="15.42578125" style="220" customWidth="1"/>
    <col min="14822" max="14822" width="20.28515625" style="220" bestFit="1" customWidth="1"/>
    <col min="14823" max="14825" width="20.28515625" style="220" customWidth="1"/>
    <col min="14826" max="14826" width="20.28515625" style="220" bestFit="1" customWidth="1"/>
    <col min="14827" max="14827" width="15.42578125" style="220" customWidth="1"/>
    <col min="14828" max="14828" width="20.7109375" style="220" bestFit="1" customWidth="1"/>
    <col min="14829" max="14831" width="20.7109375" style="220" customWidth="1"/>
    <col min="14832" max="14832" width="20.7109375" style="220" bestFit="1" customWidth="1"/>
    <col min="14833" max="14833" width="12.140625" style="220" customWidth="1"/>
    <col min="14834" max="15062" width="8.7109375" style="220" customWidth="1"/>
    <col min="15063" max="15063" width="7.28515625" style="220" customWidth="1"/>
    <col min="15064" max="15064" width="18.28515625" style="220" customWidth="1"/>
    <col min="15065" max="15065" width="23.42578125" style="220" bestFit="1" customWidth="1"/>
    <col min="15066" max="15067" width="10.140625" style="220" bestFit="1" customWidth="1"/>
    <col min="15068" max="15070" width="10.140625" style="220" customWidth="1"/>
    <col min="15071" max="15071" width="16.28515625" style="220" customWidth="1"/>
    <col min="15072" max="15072" width="20.28515625" style="220" bestFit="1" customWidth="1"/>
    <col min="15073" max="15075" width="20.28515625" style="220" customWidth="1"/>
    <col min="15076" max="15076" width="20.28515625" style="220" bestFit="1" customWidth="1"/>
    <col min="15077" max="15077" width="15.42578125" style="220" customWidth="1"/>
    <col min="15078" max="15078" width="20.28515625" style="220" bestFit="1" customWidth="1"/>
    <col min="15079" max="15081" width="20.28515625" style="220" customWidth="1"/>
    <col min="15082" max="15082" width="20.28515625" style="220" bestFit="1" customWidth="1"/>
    <col min="15083" max="15083" width="15.42578125" style="220" customWidth="1"/>
    <col min="15084" max="15084" width="20.7109375" style="220" bestFit="1" customWidth="1"/>
    <col min="15085" max="15087" width="20.7109375" style="220" customWidth="1"/>
    <col min="15088" max="15088" width="20.7109375" style="220" bestFit="1" customWidth="1"/>
    <col min="15089" max="15089" width="12.140625" style="220" customWidth="1"/>
    <col min="15090" max="15318" width="8.7109375" style="220" customWidth="1"/>
    <col min="15319" max="15319" width="7.28515625" style="220" customWidth="1"/>
    <col min="15320" max="15320" width="18.28515625" style="220" customWidth="1"/>
    <col min="15321" max="15321" width="23.42578125" style="220" bestFit="1" customWidth="1"/>
    <col min="15322" max="15323" width="10.140625" style="220" bestFit="1" customWidth="1"/>
    <col min="15324" max="15326" width="10.140625" style="220" customWidth="1"/>
    <col min="15327" max="15327" width="16.28515625" style="220" customWidth="1"/>
    <col min="15328" max="15328" width="20.28515625" style="220" bestFit="1" customWidth="1"/>
    <col min="15329" max="15331" width="20.28515625" style="220" customWidth="1"/>
    <col min="15332" max="15332" width="20.28515625" style="220" bestFit="1" customWidth="1"/>
    <col min="15333" max="15333" width="15.42578125" style="220" customWidth="1"/>
    <col min="15334" max="15334" width="20.28515625" style="220" bestFit="1" customWidth="1"/>
    <col min="15335" max="15337" width="20.28515625" style="220" customWidth="1"/>
    <col min="15338" max="15338" width="20.28515625" style="220" bestFit="1" customWidth="1"/>
    <col min="15339" max="15339" width="15.42578125" style="220" customWidth="1"/>
    <col min="15340" max="15340" width="20.7109375" style="220" bestFit="1" customWidth="1"/>
    <col min="15341" max="15343" width="20.7109375" style="220" customWidth="1"/>
    <col min="15344" max="15344" width="20.7109375" style="220" bestFit="1" customWidth="1"/>
    <col min="15345" max="15345" width="12.140625" style="220" customWidth="1"/>
    <col min="15346" max="15574" width="8.7109375" style="220" customWidth="1"/>
    <col min="15575" max="15575" width="7.28515625" style="220" customWidth="1"/>
    <col min="15576" max="15576" width="18.28515625" style="220" customWidth="1"/>
    <col min="15577" max="15577" width="23.42578125" style="220" bestFit="1" customWidth="1"/>
    <col min="15578" max="15579" width="10.140625" style="220" bestFit="1" customWidth="1"/>
    <col min="15580" max="15582" width="10.140625" style="220" customWidth="1"/>
    <col min="15583" max="15583" width="16.28515625" style="220" customWidth="1"/>
    <col min="15584" max="15584" width="20.28515625" style="220" bestFit="1" customWidth="1"/>
    <col min="15585" max="15587" width="20.28515625" style="220" customWidth="1"/>
    <col min="15588" max="15588" width="20.28515625" style="220" bestFit="1" customWidth="1"/>
    <col min="15589" max="15589" width="15.42578125" style="220" customWidth="1"/>
    <col min="15590" max="15590" width="20.28515625" style="220" bestFit="1" customWidth="1"/>
    <col min="15591" max="15593" width="20.28515625" style="220" customWidth="1"/>
    <col min="15594" max="15594" width="20.28515625" style="220" bestFit="1" customWidth="1"/>
    <col min="15595" max="15595" width="15.42578125" style="220" customWidth="1"/>
    <col min="15596" max="15596" width="20.7109375" style="220" bestFit="1" customWidth="1"/>
    <col min="15597" max="15599" width="20.7109375" style="220" customWidth="1"/>
    <col min="15600" max="15600" width="20.7109375" style="220" bestFit="1" customWidth="1"/>
    <col min="15601" max="15601" width="12.140625" style="220" customWidth="1"/>
    <col min="15602" max="15830" width="8.7109375" style="220" customWidth="1"/>
    <col min="15831" max="15831" width="7.28515625" style="220" customWidth="1"/>
    <col min="15832" max="15832" width="18.28515625" style="220" customWidth="1"/>
    <col min="15833" max="15833" width="23.42578125" style="220" bestFit="1" customWidth="1"/>
    <col min="15834" max="15835" width="10.140625" style="220" bestFit="1" customWidth="1"/>
    <col min="15836" max="15838" width="10.140625" style="220" customWidth="1"/>
    <col min="15839" max="15839" width="16.28515625" style="220" customWidth="1"/>
    <col min="15840" max="15840" width="20.28515625" style="220" bestFit="1" customWidth="1"/>
    <col min="15841" max="15843" width="20.28515625" style="220" customWidth="1"/>
    <col min="15844" max="15844" width="20.28515625" style="220" bestFit="1" customWidth="1"/>
    <col min="15845" max="15845" width="15.42578125" style="220" customWidth="1"/>
    <col min="15846" max="15846" width="20.28515625" style="220" bestFit="1" customWidth="1"/>
    <col min="15847" max="15849" width="20.28515625" style="220" customWidth="1"/>
    <col min="15850" max="15850" width="20.28515625" style="220" bestFit="1" customWidth="1"/>
    <col min="15851" max="15851" width="15.42578125" style="220" customWidth="1"/>
    <col min="15852" max="15852" width="20.7109375" style="220" bestFit="1" customWidth="1"/>
    <col min="15853" max="15855" width="20.7109375" style="220" customWidth="1"/>
    <col min="15856" max="15856" width="20.7109375" style="220" bestFit="1" customWidth="1"/>
    <col min="15857" max="15857" width="12.140625" style="220" customWidth="1"/>
    <col min="15858" max="16086" width="8.7109375" style="220" customWidth="1"/>
    <col min="16087" max="16087" width="7.28515625" style="220" customWidth="1"/>
    <col min="16088" max="16088" width="18.28515625" style="220" customWidth="1"/>
    <col min="16089" max="16089" width="23.42578125" style="220" bestFit="1" customWidth="1"/>
    <col min="16090" max="16091" width="10.140625" style="220" bestFit="1" customWidth="1"/>
    <col min="16092" max="16094" width="10.140625" style="220" customWidth="1"/>
    <col min="16095" max="16095" width="16.28515625" style="220" customWidth="1"/>
    <col min="16096" max="16096" width="20.28515625" style="220" bestFit="1" customWidth="1"/>
    <col min="16097" max="16099" width="20.28515625" style="220" customWidth="1"/>
    <col min="16100" max="16100" width="20.28515625" style="220" bestFit="1" customWidth="1"/>
    <col min="16101" max="16101" width="15.42578125" style="220" customWidth="1"/>
    <col min="16102" max="16102" width="20.28515625" style="220" bestFit="1" customWidth="1"/>
    <col min="16103" max="16105" width="20.28515625" style="220" customWidth="1"/>
    <col min="16106" max="16106" width="20.28515625" style="220" bestFit="1" customWidth="1"/>
    <col min="16107" max="16107" width="15.42578125" style="220" customWidth="1"/>
    <col min="16108" max="16108" width="20.7109375" style="220" bestFit="1" customWidth="1"/>
    <col min="16109" max="16111" width="20.7109375" style="220" customWidth="1"/>
    <col min="16112" max="16112" width="20.7109375" style="220" bestFit="1" customWidth="1"/>
    <col min="16113" max="16113" width="12.140625" style="220" customWidth="1"/>
    <col min="16114" max="16384" width="8.7109375" style="220" customWidth="1"/>
  </cols>
  <sheetData>
    <row r="1" spans="1:17" s="194" customFormat="1"/>
    <row r="2" spans="1:17" s="194" customFormat="1" ht="13.5" thickBot="1"/>
    <row r="3" spans="1:17" s="194" customFormat="1" ht="15.75" customHeight="1" thickBot="1">
      <c r="A3" s="338" t="s">
        <v>115</v>
      </c>
      <c r="B3" s="340" t="s">
        <v>314</v>
      </c>
      <c r="C3" s="342" t="s">
        <v>178</v>
      </c>
      <c r="D3" s="388" t="s">
        <v>343</v>
      </c>
      <c r="E3" s="389"/>
      <c r="F3" s="390"/>
      <c r="G3" s="391" t="s">
        <v>344</v>
      </c>
      <c r="H3" s="385"/>
      <c r="I3" s="385"/>
      <c r="J3" s="385"/>
      <c r="K3" s="391" t="s">
        <v>345</v>
      </c>
      <c r="L3" s="385"/>
      <c r="M3" s="386"/>
      <c r="N3" s="333" t="s">
        <v>346</v>
      </c>
      <c r="O3" s="333"/>
      <c r="P3" s="333"/>
      <c r="Q3" s="334"/>
    </row>
    <row r="4" spans="1:17" s="194" customFormat="1" ht="46.5" customHeight="1" thickBot="1">
      <c r="A4" s="339"/>
      <c r="B4" s="341"/>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201</v>
      </c>
      <c r="C5" s="200"/>
      <c r="D5" s="201"/>
      <c r="E5" s="202"/>
      <c r="F5" s="202"/>
      <c r="G5" s="202"/>
      <c r="H5" s="203"/>
      <c r="I5" s="204"/>
      <c r="J5" s="200"/>
      <c r="K5" s="205"/>
      <c r="L5" s="206"/>
      <c r="M5" s="206"/>
      <c r="N5" s="206"/>
      <c r="O5" s="206"/>
      <c r="P5" s="206"/>
      <c r="Q5" s="206"/>
    </row>
    <row r="6" spans="1:17" s="194" customFormat="1">
      <c r="A6" s="198">
        <v>2</v>
      </c>
      <c r="B6" s="199" t="s">
        <v>202</v>
      </c>
      <c r="C6" s="200"/>
      <c r="D6" s="201"/>
      <c r="E6" s="202"/>
      <c r="F6" s="202"/>
      <c r="G6" s="202"/>
      <c r="H6" s="203"/>
      <c r="I6" s="204"/>
      <c r="J6" s="200"/>
      <c r="K6" s="205"/>
      <c r="L6" s="206"/>
      <c r="M6" s="206"/>
      <c r="N6" s="206"/>
      <c r="O6" s="206"/>
      <c r="P6" s="206"/>
      <c r="Q6" s="206"/>
    </row>
    <row r="7" spans="1:17" s="194" customFormat="1">
      <c r="A7" s="198">
        <v>3</v>
      </c>
      <c r="B7" s="199" t="s">
        <v>203</v>
      </c>
      <c r="C7" s="200"/>
      <c r="D7" s="201"/>
      <c r="E7" s="202"/>
      <c r="F7" s="202"/>
      <c r="G7" s="202"/>
      <c r="H7" s="203"/>
      <c r="I7" s="204"/>
      <c r="J7" s="200"/>
      <c r="K7" s="205"/>
      <c r="L7" s="206"/>
      <c r="M7" s="206"/>
      <c r="N7" s="206"/>
      <c r="O7" s="206"/>
      <c r="P7" s="206"/>
      <c r="Q7" s="206"/>
    </row>
    <row r="8" spans="1:17" s="194" customFormat="1">
      <c r="A8" s="198">
        <v>4</v>
      </c>
      <c r="B8" s="199" t="s">
        <v>204</v>
      </c>
      <c r="C8" s="200"/>
      <c r="D8" s="201"/>
      <c r="E8" s="202"/>
      <c r="F8" s="202"/>
      <c r="G8" s="202"/>
      <c r="H8" s="203"/>
      <c r="I8" s="204"/>
      <c r="J8" s="200"/>
      <c r="K8" s="205"/>
      <c r="L8" s="206"/>
      <c r="M8" s="206"/>
      <c r="N8" s="206"/>
      <c r="O8" s="206"/>
      <c r="P8" s="206"/>
      <c r="Q8" s="206"/>
    </row>
    <row r="9" spans="1:17" s="194" customFormat="1">
      <c r="A9" s="207">
        <v>5</v>
      </c>
      <c r="B9" s="199" t="s">
        <v>205</v>
      </c>
      <c r="C9" s="200"/>
      <c r="D9" s="201"/>
      <c r="E9" s="202"/>
      <c r="F9" s="202"/>
      <c r="G9" s="202"/>
      <c r="H9" s="203"/>
      <c r="I9" s="204"/>
      <c r="J9" s="200"/>
      <c r="K9" s="205"/>
      <c r="L9" s="206"/>
      <c r="M9" s="206"/>
      <c r="N9" s="206"/>
      <c r="O9" s="206"/>
      <c r="P9" s="206"/>
      <c r="Q9" s="206"/>
    </row>
    <row r="10" spans="1:17" s="194" customFormat="1">
      <c r="A10" s="198">
        <v>6</v>
      </c>
      <c r="B10" s="199" t="s">
        <v>206</v>
      </c>
      <c r="C10" s="200"/>
      <c r="D10" s="201"/>
      <c r="E10" s="202"/>
      <c r="F10" s="202"/>
      <c r="G10" s="202"/>
      <c r="H10" s="203"/>
      <c r="I10" s="204"/>
      <c r="J10" s="200"/>
      <c r="K10" s="205"/>
      <c r="L10" s="206"/>
      <c r="M10" s="206"/>
      <c r="N10" s="206"/>
      <c r="O10" s="206"/>
      <c r="P10" s="206"/>
      <c r="Q10" s="206"/>
    </row>
    <row r="11" spans="1:17" s="194" customFormat="1">
      <c r="A11" s="243"/>
      <c r="B11" s="244" t="s">
        <v>207</v>
      </c>
      <c r="C11" s="245"/>
      <c r="D11" s="246"/>
      <c r="E11" s="247"/>
      <c r="F11" s="247"/>
      <c r="G11" s="247"/>
      <c r="H11" s="248"/>
      <c r="I11" s="249"/>
      <c r="J11" s="250"/>
      <c r="K11" s="251"/>
      <c r="L11" s="252"/>
      <c r="M11" s="252"/>
      <c r="N11" s="252"/>
      <c r="O11" s="252"/>
      <c r="P11" s="252"/>
      <c r="Q11" s="252"/>
    </row>
    <row r="12" spans="1:17" s="194" customFormat="1">
      <c r="A12" s="207">
        <v>7</v>
      </c>
      <c r="B12" s="209" t="s">
        <v>208</v>
      </c>
      <c r="C12" s="208"/>
      <c r="D12" s="201"/>
      <c r="E12" s="202"/>
      <c r="F12" s="202"/>
      <c r="G12" s="202"/>
      <c r="H12" s="203"/>
      <c r="I12" s="204"/>
      <c r="J12" s="200"/>
      <c r="K12" s="205"/>
      <c r="L12" s="206"/>
      <c r="M12" s="206"/>
      <c r="N12" s="206"/>
      <c r="O12" s="206"/>
      <c r="P12" s="206"/>
      <c r="Q12" s="206"/>
    </row>
    <row r="13" spans="1:17" s="194" customFormat="1">
      <c r="A13" s="207">
        <v>8</v>
      </c>
      <c r="B13" s="210" t="s">
        <v>209</v>
      </c>
      <c r="C13" s="208"/>
      <c r="D13" s="201"/>
      <c r="E13" s="202"/>
      <c r="F13" s="202"/>
      <c r="G13" s="202"/>
      <c r="H13" s="203"/>
      <c r="I13" s="204"/>
      <c r="J13" s="200"/>
      <c r="K13" s="205"/>
      <c r="L13" s="206"/>
      <c r="M13" s="206"/>
      <c r="N13" s="206"/>
      <c r="O13" s="206"/>
      <c r="P13" s="206"/>
      <c r="Q13" s="206"/>
    </row>
    <row r="14" spans="1:17" s="194" customFormat="1">
      <c r="A14" s="207">
        <v>9</v>
      </c>
      <c r="B14" s="199" t="s">
        <v>210</v>
      </c>
      <c r="C14" s="208"/>
      <c r="D14" s="201"/>
      <c r="E14" s="202"/>
      <c r="F14" s="202"/>
      <c r="G14" s="202"/>
      <c r="H14" s="203"/>
      <c r="I14" s="204"/>
      <c r="J14" s="200"/>
      <c r="K14" s="205"/>
      <c r="L14" s="206"/>
      <c r="M14" s="206"/>
      <c r="N14" s="206"/>
      <c r="O14" s="206"/>
      <c r="P14" s="206"/>
      <c r="Q14" s="206"/>
    </row>
    <row r="15" spans="1:17" s="194" customFormat="1">
      <c r="A15" s="207">
        <v>10</v>
      </c>
      <c r="B15" s="199" t="s">
        <v>212</v>
      </c>
      <c r="C15" s="208"/>
      <c r="D15" s="201"/>
      <c r="E15" s="202"/>
      <c r="F15" s="202"/>
      <c r="G15" s="202"/>
      <c r="H15" s="203"/>
      <c r="I15" s="204"/>
      <c r="J15" s="200"/>
      <c r="K15" s="205"/>
      <c r="L15" s="206"/>
      <c r="M15" s="206"/>
      <c r="N15" s="206"/>
      <c r="O15" s="206"/>
      <c r="P15" s="206"/>
      <c r="Q15" s="206"/>
    </row>
    <row r="16" spans="1:17" s="194" customFormat="1">
      <c r="A16" s="207">
        <v>11</v>
      </c>
      <c r="B16" s="199" t="s">
        <v>211</v>
      </c>
      <c r="C16" s="208"/>
      <c r="D16" s="201"/>
      <c r="E16" s="202"/>
      <c r="F16" s="202"/>
      <c r="G16" s="202"/>
      <c r="H16" s="203"/>
      <c r="I16" s="204"/>
      <c r="J16" s="200"/>
      <c r="K16" s="205"/>
      <c r="L16" s="206"/>
      <c r="M16" s="206"/>
      <c r="N16" s="206"/>
      <c r="O16" s="206"/>
      <c r="P16" s="206"/>
      <c r="Q16" s="206"/>
    </row>
    <row r="17" spans="1:17" s="194" customFormat="1">
      <c r="A17" s="207">
        <v>12</v>
      </c>
      <c r="B17" s="199" t="s">
        <v>214</v>
      </c>
      <c r="C17" s="208"/>
      <c r="D17" s="201"/>
      <c r="E17" s="202"/>
      <c r="F17" s="202"/>
      <c r="G17" s="202"/>
      <c r="H17" s="203"/>
      <c r="I17" s="204"/>
      <c r="J17" s="200"/>
      <c r="K17" s="205"/>
      <c r="L17" s="206"/>
      <c r="M17" s="206"/>
      <c r="N17" s="206"/>
      <c r="O17" s="206"/>
      <c r="P17" s="206"/>
      <c r="Q17" s="206"/>
    </row>
    <row r="18" spans="1:17" s="194" customFormat="1">
      <c r="A18" s="207">
        <v>13</v>
      </c>
      <c r="B18" s="199" t="s">
        <v>213</v>
      </c>
      <c r="C18" s="208"/>
      <c r="D18" s="201"/>
      <c r="E18" s="202"/>
      <c r="F18" s="202"/>
      <c r="G18" s="202"/>
      <c r="H18" s="203"/>
      <c r="I18" s="204"/>
      <c r="J18" s="200"/>
      <c r="K18" s="205"/>
      <c r="L18" s="206"/>
      <c r="M18" s="206"/>
      <c r="N18" s="206"/>
      <c r="O18" s="206"/>
      <c r="P18" s="206"/>
      <c r="Q18" s="206"/>
    </row>
    <row r="19" spans="1:17" s="194" customFormat="1">
      <c r="A19" s="207">
        <v>14</v>
      </c>
      <c r="B19" s="199" t="s">
        <v>215</v>
      </c>
      <c r="C19" s="208"/>
      <c r="D19" s="201"/>
      <c r="E19" s="202"/>
      <c r="F19" s="202"/>
      <c r="G19" s="202"/>
      <c r="H19" s="203"/>
      <c r="I19" s="204"/>
      <c r="J19" s="200"/>
      <c r="K19" s="205"/>
      <c r="L19" s="206"/>
      <c r="M19" s="206"/>
      <c r="N19" s="206"/>
      <c r="O19" s="206"/>
      <c r="P19" s="206"/>
      <c r="Q19" s="206"/>
    </row>
    <row r="20" spans="1:17" s="194" customFormat="1">
      <c r="A20" s="207">
        <v>15</v>
      </c>
      <c r="B20" s="199" t="s">
        <v>216</v>
      </c>
      <c r="C20" s="208"/>
      <c r="D20" s="201"/>
      <c r="E20" s="202"/>
      <c r="F20" s="202"/>
      <c r="G20" s="202"/>
      <c r="H20" s="203"/>
      <c r="I20" s="204"/>
      <c r="J20" s="200"/>
      <c r="K20" s="205"/>
      <c r="L20" s="206"/>
      <c r="M20" s="206"/>
      <c r="N20" s="206"/>
      <c r="O20" s="206"/>
      <c r="P20" s="206"/>
      <c r="Q20" s="206"/>
    </row>
    <row r="21" spans="1:17" s="194" customFormat="1">
      <c r="A21" s="207">
        <v>16</v>
      </c>
      <c r="B21" s="199" t="s">
        <v>217</v>
      </c>
      <c r="C21" s="208"/>
      <c r="D21" s="201"/>
      <c r="E21" s="202"/>
      <c r="F21" s="202"/>
      <c r="G21" s="202"/>
      <c r="H21" s="203"/>
      <c r="I21" s="204"/>
      <c r="J21" s="200"/>
      <c r="K21" s="205"/>
      <c r="L21" s="206"/>
      <c r="M21" s="206"/>
      <c r="N21" s="206"/>
      <c r="O21" s="206"/>
      <c r="P21" s="206"/>
      <c r="Q21" s="206"/>
    </row>
    <row r="22" spans="1:17" s="194" customFormat="1">
      <c r="A22" s="207">
        <v>17</v>
      </c>
      <c r="B22" s="199" t="s">
        <v>218</v>
      </c>
      <c r="C22" s="208"/>
      <c r="D22" s="201"/>
      <c r="E22" s="202"/>
      <c r="F22" s="202"/>
      <c r="G22" s="202"/>
      <c r="H22" s="203"/>
      <c r="I22" s="204"/>
      <c r="J22" s="200"/>
      <c r="K22" s="205"/>
      <c r="L22" s="206"/>
      <c r="M22" s="206"/>
      <c r="N22" s="206"/>
      <c r="O22" s="206"/>
      <c r="P22" s="206"/>
      <c r="Q22" s="206"/>
    </row>
    <row r="23" spans="1:17" s="194" customFormat="1">
      <c r="A23" s="207">
        <v>18</v>
      </c>
      <c r="B23" s="199" t="s">
        <v>219</v>
      </c>
      <c r="C23" s="208"/>
      <c r="D23" s="201"/>
      <c r="E23" s="202"/>
      <c r="F23" s="202"/>
      <c r="G23" s="202"/>
      <c r="H23" s="203"/>
      <c r="I23" s="204"/>
      <c r="J23" s="200"/>
      <c r="K23" s="205"/>
      <c r="L23" s="206"/>
      <c r="M23" s="206"/>
      <c r="N23" s="206"/>
      <c r="O23" s="206"/>
      <c r="P23" s="206"/>
      <c r="Q23" s="206"/>
    </row>
    <row r="24" spans="1:17" s="194" customFormat="1">
      <c r="A24" s="207">
        <v>19</v>
      </c>
      <c r="B24" s="199" t="s">
        <v>220</v>
      </c>
      <c r="C24" s="208"/>
      <c r="D24" s="201"/>
      <c r="E24" s="202"/>
      <c r="F24" s="202"/>
      <c r="G24" s="202"/>
      <c r="H24" s="203"/>
      <c r="I24" s="204"/>
      <c r="J24" s="200"/>
      <c r="K24" s="205"/>
      <c r="L24" s="206"/>
      <c r="M24" s="206"/>
      <c r="N24" s="206"/>
      <c r="O24" s="206"/>
      <c r="P24" s="206"/>
      <c r="Q24" s="206"/>
    </row>
    <row r="25" spans="1:17" s="194" customFormat="1">
      <c r="A25" s="207">
        <v>20</v>
      </c>
      <c r="B25" s="199" t="s">
        <v>221</v>
      </c>
      <c r="C25" s="208"/>
      <c r="D25" s="201"/>
      <c r="E25" s="202"/>
      <c r="F25" s="202"/>
      <c r="G25" s="202"/>
      <c r="H25" s="203"/>
      <c r="I25" s="204"/>
      <c r="J25" s="200"/>
      <c r="K25" s="205"/>
      <c r="L25" s="206"/>
      <c r="M25" s="206"/>
      <c r="N25" s="206"/>
      <c r="O25" s="206"/>
      <c r="P25" s="206"/>
      <c r="Q25" s="206"/>
    </row>
    <row r="26" spans="1:17" s="194" customFormat="1">
      <c r="A26" s="207">
        <v>21</v>
      </c>
      <c r="B26" s="199" t="s">
        <v>222</v>
      </c>
      <c r="C26" s="208"/>
      <c r="D26" s="201"/>
      <c r="E26" s="202"/>
      <c r="F26" s="202"/>
      <c r="G26" s="202"/>
      <c r="H26" s="203"/>
      <c r="I26" s="204"/>
      <c r="J26" s="200"/>
      <c r="K26" s="205"/>
      <c r="L26" s="206"/>
      <c r="M26" s="206"/>
      <c r="N26" s="206"/>
      <c r="O26" s="206"/>
      <c r="P26" s="206"/>
      <c r="Q26" s="206"/>
    </row>
    <row r="27" spans="1:17" s="194" customFormat="1">
      <c r="A27" s="207">
        <v>22</v>
      </c>
      <c r="B27" s="199" t="s">
        <v>223</v>
      </c>
      <c r="C27" s="208"/>
      <c r="D27" s="201"/>
      <c r="E27" s="202"/>
      <c r="F27" s="202"/>
      <c r="G27" s="202"/>
      <c r="H27" s="203"/>
      <c r="I27" s="204"/>
      <c r="J27" s="200"/>
      <c r="K27" s="205"/>
      <c r="L27" s="206"/>
      <c r="M27" s="206"/>
      <c r="N27" s="206"/>
      <c r="O27" s="206"/>
      <c r="P27" s="206"/>
      <c r="Q27" s="206"/>
    </row>
    <row r="28" spans="1:17" s="194" customFormat="1">
      <c r="A28" s="243"/>
      <c r="B28" s="244" t="s">
        <v>224</v>
      </c>
      <c r="C28" s="245"/>
      <c r="D28" s="246"/>
      <c r="E28" s="247"/>
      <c r="F28" s="247"/>
      <c r="G28" s="247"/>
      <c r="H28" s="248"/>
      <c r="I28" s="249"/>
      <c r="J28" s="250"/>
      <c r="K28" s="251"/>
      <c r="L28" s="252"/>
      <c r="M28" s="252"/>
      <c r="N28" s="252"/>
      <c r="O28" s="252"/>
      <c r="P28" s="252"/>
      <c r="Q28" s="252"/>
    </row>
    <row r="29" spans="1:17" s="194" customFormat="1">
      <c r="A29" s="207">
        <v>23</v>
      </c>
      <c r="B29" s="211" t="s">
        <v>225</v>
      </c>
      <c r="C29" s="208"/>
      <c r="D29" s="201"/>
      <c r="E29" s="202"/>
      <c r="F29" s="202"/>
      <c r="G29" s="202"/>
      <c r="H29" s="203"/>
      <c r="I29" s="204"/>
      <c r="J29" s="200"/>
      <c r="K29" s="205"/>
      <c r="L29" s="206"/>
      <c r="M29" s="206"/>
      <c r="N29" s="206"/>
      <c r="O29" s="206"/>
      <c r="P29" s="206"/>
      <c r="Q29" s="206"/>
    </row>
    <row r="30" spans="1:17" s="194" customFormat="1" ht="25.5">
      <c r="A30" s="253"/>
      <c r="B30" s="254" t="s">
        <v>243</v>
      </c>
      <c r="C30" s="255"/>
      <c r="D30" s="244"/>
      <c r="E30" s="256"/>
      <c r="F30" s="256"/>
      <c r="G30" s="256"/>
      <c r="H30" s="257"/>
      <c r="I30" s="258"/>
      <c r="J30" s="259"/>
      <c r="K30" s="260"/>
      <c r="L30" s="252"/>
      <c r="M30" s="252"/>
      <c r="N30" s="252"/>
      <c r="O30" s="252"/>
      <c r="P30" s="252"/>
      <c r="Q30" s="252"/>
    </row>
    <row r="31" spans="1:17" s="194" customFormat="1">
      <c r="A31" s="207">
        <v>25</v>
      </c>
      <c r="B31" s="210" t="s">
        <v>226</v>
      </c>
      <c r="C31" s="208"/>
      <c r="D31" s="201"/>
      <c r="E31" s="202"/>
      <c r="F31" s="202"/>
      <c r="G31" s="202"/>
      <c r="H31" s="203"/>
      <c r="I31" s="204"/>
      <c r="J31" s="200"/>
      <c r="K31" s="205"/>
      <c r="L31" s="206"/>
      <c r="M31" s="206"/>
      <c r="N31" s="206"/>
      <c r="O31" s="206"/>
      <c r="P31" s="206"/>
      <c r="Q31" s="206"/>
    </row>
    <row r="32" spans="1:17" s="194" customFormat="1">
      <c r="A32" s="210">
        <v>26</v>
      </c>
      <c r="B32" s="210" t="s">
        <v>227</v>
      </c>
      <c r="C32" s="208"/>
      <c r="D32" s="201"/>
      <c r="E32" s="202"/>
      <c r="F32" s="202"/>
      <c r="G32" s="202"/>
      <c r="H32" s="203"/>
      <c r="I32" s="204"/>
      <c r="J32" s="200"/>
      <c r="K32" s="205"/>
      <c r="L32" s="206"/>
      <c r="M32" s="206"/>
      <c r="N32" s="206"/>
      <c r="O32" s="206"/>
      <c r="P32" s="206"/>
      <c r="Q32" s="206"/>
    </row>
    <row r="33" spans="1:17" s="194" customFormat="1">
      <c r="A33" s="207">
        <v>27</v>
      </c>
      <c r="B33" s="210" t="s">
        <v>228</v>
      </c>
      <c r="C33" s="208"/>
      <c r="D33" s="201"/>
      <c r="E33" s="202"/>
      <c r="F33" s="202"/>
      <c r="G33" s="202"/>
      <c r="H33" s="203"/>
      <c r="I33" s="204"/>
      <c r="J33" s="200"/>
      <c r="K33" s="205"/>
      <c r="L33" s="206"/>
      <c r="M33" s="206"/>
      <c r="N33" s="206"/>
      <c r="O33" s="206"/>
      <c r="P33" s="206"/>
      <c r="Q33" s="206"/>
    </row>
    <row r="34" spans="1:17" s="194" customFormat="1">
      <c r="A34" s="210">
        <v>28</v>
      </c>
      <c r="B34" s="210" t="s">
        <v>229</v>
      </c>
      <c r="C34" s="208"/>
      <c r="D34" s="201"/>
      <c r="E34" s="202"/>
      <c r="F34" s="202"/>
      <c r="G34" s="202"/>
      <c r="H34" s="203"/>
      <c r="I34" s="204"/>
      <c r="J34" s="200"/>
      <c r="K34" s="205"/>
      <c r="L34" s="206"/>
      <c r="M34" s="206"/>
      <c r="N34" s="206"/>
      <c r="O34" s="206"/>
      <c r="P34" s="206"/>
      <c r="Q34" s="206"/>
    </row>
    <row r="35" spans="1:17" s="194" customFormat="1">
      <c r="A35" s="207">
        <v>29</v>
      </c>
      <c r="B35" s="210" t="s">
        <v>230</v>
      </c>
      <c r="C35" s="208"/>
      <c r="D35" s="201"/>
      <c r="E35" s="202"/>
      <c r="F35" s="202"/>
      <c r="G35" s="202"/>
      <c r="H35" s="203"/>
      <c r="I35" s="204"/>
      <c r="J35" s="200"/>
      <c r="K35" s="205"/>
      <c r="L35" s="206"/>
      <c r="M35" s="206"/>
      <c r="N35" s="206"/>
      <c r="O35" s="206"/>
      <c r="P35" s="206"/>
      <c r="Q35" s="206"/>
    </row>
    <row r="36" spans="1:17" s="194" customFormat="1">
      <c r="A36" s="210">
        <v>30</v>
      </c>
      <c r="B36" s="210" t="s">
        <v>231</v>
      </c>
      <c r="C36" s="208"/>
      <c r="D36" s="201"/>
      <c r="E36" s="202"/>
      <c r="F36" s="202"/>
      <c r="G36" s="202"/>
      <c r="H36" s="203"/>
      <c r="I36" s="204"/>
      <c r="J36" s="200"/>
      <c r="K36" s="205"/>
      <c r="L36" s="206"/>
      <c r="M36" s="206"/>
      <c r="N36" s="206"/>
      <c r="O36" s="206"/>
      <c r="P36" s="206"/>
      <c r="Q36" s="206"/>
    </row>
    <row r="37" spans="1:17" s="194" customFormat="1">
      <c r="A37" s="207">
        <v>31</v>
      </c>
      <c r="B37" s="210" t="s">
        <v>232</v>
      </c>
      <c r="C37" s="208"/>
      <c r="D37" s="201"/>
      <c r="E37" s="202"/>
      <c r="F37" s="202"/>
      <c r="G37" s="202"/>
      <c r="H37" s="203"/>
      <c r="I37" s="204"/>
      <c r="J37" s="200"/>
      <c r="K37" s="205"/>
      <c r="L37" s="206"/>
      <c r="M37" s="206"/>
      <c r="N37" s="206"/>
      <c r="O37" s="206"/>
      <c r="P37" s="206"/>
      <c r="Q37" s="206"/>
    </row>
    <row r="38" spans="1:17" s="194" customFormat="1">
      <c r="A38" s="210">
        <v>32</v>
      </c>
      <c r="B38" s="210" t="s">
        <v>233</v>
      </c>
      <c r="C38" s="208"/>
      <c r="D38" s="201"/>
      <c r="E38" s="202"/>
      <c r="F38" s="202"/>
      <c r="G38" s="202"/>
      <c r="H38" s="203"/>
      <c r="I38" s="204"/>
      <c r="J38" s="200"/>
      <c r="K38" s="205"/>
      <c r="L38" s="206"/>
      <c r="M38" s="206"/>
      <c r="N38" s="206"/>
      <c r="O38" s="206"/>
      <c r="P38" s="206"/>
      <c r="Q38" s="206"/>
    </row>
    <row r="39" spans="1:17" s="194" customFormat="1">
      <c r="A39" s="207">
        <v>33</v>
      </c>
      <c r="B39" s="210" t="s">
        <v>234</v>
      </c>
      <c r="C39" s="208"/>
      <c r="D39" s="201"/>
      <c r="E39" s="202"/>
      <c r="F39" s="202"/>
      <c r="G39" s="202"/>
      <c r="H39" s="203"/>
      <c r="I39" s="204"/>
      <c r="J39" s="200"/>
      <c r="K39" s="205"/>
      <c r="L39" s="206"/>
      <c r="M39" s="206"/>
      <c r="N39" s="206"/>
      <c r="O39" s="206"/>
      <c r="P39" s="206"/>
      <c r="Q39" s="206"/>
    </row>
    <row r="40" spans="1:17" s="194" customFormat="1">
      <c r="A40" s="210">
        <v>34</v>
      </c>
      <c r="B40" s="210" t="s">
        <v>235</v>
      </c>
      <c r="C40" s="208"/>
      <c r="D40" s="201"/>
      <c r="E40" s="202"/>
      <c r="F40" s="202"/>
      <c r="G40" s="202"/>
      <c r="H40" s="203"/>
      <c r="I40" s="204"/>
      <c r="J40" s="200"/>
      <c r="K40" s="205"/>
      <c r="L40" s="206"/>
      <c r="M40" s="206"/>
      <c r="N40" s="206"/>
      <c r="O40" s="206"/>
      <c r="P40" s="206"/>
      <c r="Q40" s="206"/>
    </row>
    <row r="41" spans="1:17" s="194" customFormat="1">
      <c r="A41" s="207">
        <v>35</v>
      </c>
      <c r="B41" s="210" t="s">
        <v>236</v>
      </c>
      <c r="C41" s="208"/>
      <c r="D41" s="201"/>
      <c r="E41" s="202"/>
      <c r="F41" s="202"/>
      <c r="G41" s="202"/>
      <c r="H41" s="203"/>
      <c r="I41" s="204"/>
      <c r="J41" s="200"/>
      <c r="K41" s="205"/>
      <c r="L41" s="206"/>
      <c r="M41" s="206"/>
      <c r="N41" s="206"/>
      <c r="O41" s="206"/>
      <c r="P41" s="206"/>
      <c r="Q41" s="206"/>
    </row>
    <row r="42" spans="1:17" s="194" customFormat="1">
      <c r="A42" s="210">
        <v>36</v>
      </c>
      <c r="B42" s="210" t="s">
        <v>237</v>
      </c>
      <c r="C42" s="208"/>
      <c r="D42" s="201"/>
      <c r="E42" s="202"/>
      <c r="F42" s="202"/>
      <c r="G42" s="202"/>
      <c r="H42" s="203"/>
      <c r="I42" s="204"/>
      <c r="J42" s="200"/>
      <c r="K42" s="205"/>
      <c r="L42" s="206"/>
      <c r="M42" s="206"/>
      <c r="N42" s="206"/>
      <c r="O42" s="206"/>
      <c r="P42" s="206"/>
      <c r="Q42" s="206"/>
    </row>
    <row r="43" spans="1:17" s="194" customFormat="1">
      <c r="A43" s="207">
        <v>37</v>
      </c>
      <c r="B43" s="210" t="s">
        <v>238</v>
      </c>
      <c r="C43" s="208"/>
      <c r="D43" s="201"/>
      <c r="E43" s="202"/>
      <c r="F43" s="202"/>
      <c r="G43" s="202"/>
      <c r="H43" s="203"/>
      <c r="I43" s="204"/>
      <c r="J43" s="200"/>
      <c r="K43" s="205"/>
      <c r="L43" s="206"/>
      <c r="M43" s="206"/>
      <c r="N43" s="206"/>
      <c r="O43" s="206"/>
      <c r="P43" s="206"/>
      <c r="Q43" s="206"/>
    </row>
    <row r="44" spans="1:17" s="194" customFormat="1">
      <c r="A44" s="210">
        <v>38</v>
      </c>
      <c r="B44" s="210" t="s">
        <v>239</v>
      </c>
      <c r="C44" s="208"/>
      <c r="D44" s="201"/>
      <c r="E44" s="202"/>
      <c r="F44" s="202"/>
      <c r="G44" s="202"/>
      <c r="H44" s="203"/>
      <c r="I44" s="204"/>
      <c r="J44" s="200"/>
      <c r="K44" s="205"/>
      <c r="L44" s="206"/>
      <c r="M44" s="206"/>
      <c r="N44" s="206"/>
      <c r="O44" s="206"/>
      <c r="P44" s="206"/>
      <c r="Q44" s="206"/>
    </row>
    <row r="45" spans="1:17" s="194" customFormat="1">
      <c r="A45" s="207">
        <v>39</v>
      </c>
      <c r="B45" s="210" t="s">
        <v>240</v>
      </c>
      <c r="C45" s="208"/>
      <c r="D45" s="201"/>
      <c r="E45" s="202"/>
      <c r="F45" s="202"/>
      <c r="G45" s="202"/>
      <c r="H45" s="203"/>
      <c r="I45" s="204"/>
      <c r="J45" s="200"/>
      <c r="K45" s="205"/>
      <c r="L45" s="206"/>
      <c r="M45" s="206"/>
      <c r="N45" s="206"/>
      <c r="O45" s="206"/>
      <c r="P45" s="206"/>
      <c r="Q45" s="206"/>
    </row>
    <row r="46" spans="1:17" s="194" customFormat="1">
      <c r="A46" s="210">
        <v>40</v>
      </c>
      <c r="B46" s="210" t="s">
        <v>241</v>
      </c>
      <c r="C46" s="208"/>
      <c r="D46" s="201"/>
      <c r="E46" s="202"/>
      <c r="F46" s="202"/>
      <c r="G46" s="202"/>
      <c r="H46" s="203"/>
      <c r="I46" s="204"/>
      <c r="J46" s="200"/>
      <c r="K46" s="205"/>
      <c r="L46" s="206"/>
      <c r="M46" s="206"/>
      <c r="N46" s="206"/>
      <c r="O46" s="206"/>
      <c r="P46" s="206"/>
      <c r="Q46" s="206"/>
    </row>
    <row r="47" spans="1:17" s="194" customFormat="1">
      <c r="A47" s="207">
        <v>41</v>
      </c>
      <c r="B47" s="210" t="s">
        <v>242</v>
      </c>
      <c r="C47" s="208"/>
      <c r="D47" s="201"/>
      <c r="E47" s="202"/>
      <c r="F47" s="202"/>
      <c r="G47" s="202"/>
      <c r="H47" s="203"/>
      <c r="I47" s="204"/>
      <c r="J47" s="200"/>
      <c r="K47" s="205"/>
      <c r="L47" s="206"/>
      <c r="M47" s="206"/>
      <c r="N47" s="206"/>
      <c r="O47" s="206"/>
      <c r="P47" s="206"/>
      <c r="Q47" s="206"/>
    </row>
    <row r="48" spans="1:17" s="194" customFormat="1">
      <c r="A48" s="253"/>
      <c r="B48" s="254" t="s">
        <v>244</v>
      </c>
      <c r="C48" s="255"/>
      <c r="D48" s="244"/>
      <c r="E48" s="256"/>
      <c r="F48" s="256"/>
      <c r="G48" s="256"/>
      <c r="H48" s="257"/>
      <c r="I48" s="258"/>
      <c r="J48" s="259"/>
      <c r="K48" s="260"/>
      <c r="L48" s="252"/>
      <c r="M48" s="252"/>
      <c r="N48" s="252"/>
      <c r="O48" s="252"/>
      <c r="P48" s="252"/>
      <c r="Q48" s="252"/>
    </row>
    <row r="49" spans="1:17" s="194" customFormat="1">
      <c r="A49" s="207"/>
      <c r="B49" s="210" t="s">
        <v>245</v>
      </c>
      <c r="C49" s="208"/>
      <c r="D49" s="201"/>
      <c r="E49" s="202"/>
      <c r="F49" s="202"/>
      <c r="G49" s="202"/>
      <c r="H49" s="203"/>
      <c r="I49" s="204"/>
      <c r="J49" s="200"/>
      <c r="K49" s="205"/>
      <c r="L49" s="206"/>
      <c r="M49" s="206"/>
      <c r="N49" s="206"/>
      <c r="O49" s="206"/>
      <c r="P49" s="206"/>
      <c r="Q49" s="206"/>
    </row>
    <row r="50" spans="1:17" s="194" customFormat="1">
      <c r="A50" s="207"/>
      <c r="B50" s="210" t="s">
        <v>246</v>
      </c>
      <c r="C50" s="208"/>
      <c r="D50" s="201"/>
      <c r="E50" s="202"/>
      <c r="F50" s="202"/>
      <c r="G50" s="202"/>
      <c r="H50" s="203"/>
      <c r="I50" s="204"/>
      <c r="J50" s="200"/>
      <c r="K50" s="205"/>
      <c r="L50" s="206"/>
      <c r="M50" s="206"/>
      <c r="N50" s="206"/>
      <c r="O50" s="206"/>
      <c r="P50" s="206"/>
      <c r="Q50" s="206"/>
    </row>
    <row r="51" spans="1:17" s="194" customFormat="1">
      <c r="A51" s="253"/>
      <c r="B51" s="254" t="s">
        <v>247</v>
      </c>
      <c r="C51" s="255"/>
      <c r="D51" s="244"/>
      <c r="E51" s="256"/>
      <c r="F51" s="256"/>
      <c r="G51" s="256"/>
      <c r="H51" s="257"/>
      <c r="I51" s="258"/>
      <c r="J51" s="259"/>
      <c r="K51" s="260"/>
      <c r="L51" s="252"/>
      <c r="M51" s="252"/>
      <c r="N51" s="252"/>
      <c r="O51" s="252"/>
      <c r="P51" s="252"/>
      <c r="Q51" s="252"/>
    </row>
    <row r="52" spans="1:17" s="194" customFormat="1">
      <c r="A52" s="207"/>
      <c r="B52" s="210" t="s">
        <v>248</v>
      </c>
      <c r="C52" s="208"/>
      <c r="D52" s="201"/>
      <c r="E52" s="202"/>
      <c r="F52" s="202"/>
      <c r="G52" s="202"/>
      <c r="H52" s="203"/>
      <c r="I52" s="204"/>
      <c r="J52" s="200"/>
      <c r="K52" s="205"/>
      <c r="L52" s="206"/>
      <c r="M52" s="206"/>
      <c r="N52" s="206"/>
      <c r="O52" s="206"/>
      <c r="P52" s="206"/>
      <c r="Q52" s="206"/>
    </row>
    <row r="53" spans="1:17" s="194" customFormat="1">
      <c r="A53" s="207"/>
      <c r="B53" s="210" t="s">
        <v>249</v>
      </c>
      <c r="C53" s="208"/>
      <c r="D53" s="201"/>
      <c r="E53" s="202"/>
      <c r="F53" s="202"/>
      <c r="G53" s="202"/>
      <c r="H53" s="203"/>
      <c r="I53" s="204"/>
      <c r="J53" s="200"/>
      <c r="K53" s="205"/>
      <c r="L53" s="206"/>
      <c r="M53" s="206"/>
      <c r="N53" s="206"/>
      <c r="O53" s="206"/>
      <c r="P53" s="206"/>
      <c r="Q53" s="206"/>
    </row>
    <row r="54" spans="1:17" s="194" customFormat="1">
      <c r="A54" s="207"/>
      <c r="B54" s="210" t="s">
        <v>250</v>
      </c>
      <c r="C54" s="208"/>
      <c r="D54" s="201"/>
      <c r="E54" s="202"/>
      <c r="F54" s="202"/>
      <c r="G54" s="202"/>
      <c r="H54" s="203"/>
      <c r="I54" s="204"/>
      <c r="J54" s="200"/>
      <c r="K54" s="205"/>
      <c r="L54" s="206"/>
      <c r="M54" s="206"/>
      <c r="N54" s="206"/>
      <c r="O54" s="206"/>
      <c r="P54" s="206"/>
      <c r="Q54" s="206"/>
    </row>
    <row r="55" spans="1:17" s="219" customFormat="1" ht="15" customHeight="1" thickBot="1">
      <c r="A55" s="344" t="s">
        <v>5</v>
      </c>
      <c r="B55" s="345"/>
      <c r="C55" s="346"/>
      <c r="D55" s="261"/>
      <c r="E55" s="262"/>
      <c r="F55" s="262"/>
      <c r="G55" s="262"/>
      <c r="H55" s="263"/>
      <c r="I55" s="264"/>
      <c r="J55" s="265"/>
      <c r="K55" s="266"/>
      <c r="L55" s="267"/>
      <c r="M55" s="267"/>
      <c r="N55" s="267"/>
      <c r="O55" s="268"/>
      <c r="P55" s="268"/>
      <c r="Q55" s="268"/>
    </row>
  </sheetData>
  <mergeCells count="8">
    <mergeCell ref="A55:C55"/>
    <mergeCell ref="A3:A4"/>
    <mergeCell ref="B3:B4"/>
    <mergeCell ref="C3:C4"/>
    <mergeCell ref="D3:F3"/>
    <mergeCell ref="G3:J3"/>
    <mergeCell ref="K3:M3"/>
    <mergeCell ref="N3:Q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26"/>
  <sheetViews>
    <sheetView workbookViewId="0">
      <selection activeCell="N3" sqref="N3:Q4"/>
    </sheetView>
  </sheetViews>
  <sheetFormatPr defaultColWidth="11.5703125" defaultRowHeight="12.75"/>
  <cols>
    <col min="1" max="1" width="7.28515625" style="220" customWidth="1"/>
    <col min="2" max="2" width="42.5703125" style="220" bestFit="1" customWidth="1"/>
    <col min="3" max="3" width="23.5703125" style="220" customWidth="1"/>
    <col min="4" max="8" width="21.85546875" style="220" customWidth="1"/>
    <col min="9" max="16" width="26.7109375" style="220" customWidth="1"/>
    <col min="17" max="221" width="8.7109375" style="220" customWidth="1"/>
    <col min="222" max="222" width="7.28515625" style="220" customWidth="1"/>
    <col min="223" max="223" width="18.28515625" style="220" customWidth="1"/>
    <col min="224" max="224" width="23.42578125" style="220" bestFit="1" customWidth="1"/>
    <col min="225" max="226" width="10.140625" style="220" bestFit="1" customWidth="1"/>
    <col min="227" max="229" width="10.140625" style="220" customWidth="1"/>
    <col min="230" max="230" width="16.28515625" style="220" customWidth="1"/>
    <col min="231" max="231" width="20.28515625" style="220" bestFit="1" customWidth="1"/>
    <col min="232" max="234" width="20.28515625" style="220" customWidth="1"/>
    <col min="235" max="235" width="20.28515625" style="220" bestFit="1" customWidth="1"/>
    <col min="236" max="236" width="15.42578125" style="220" customWidth="1"/>
    <col min="237" max="237" width="20.28515625" style="220" bestFit="1" customWidth="1"/>
    <col min="238" max="240" width="20.28515625" style="220" customWidth="1"/>
    <col min="241" max="241" width="20.28515625" style="220" bestFit="1" customWidth="1"/>
    <col min="242" max="242" width="15.42578125" style="220" customWidth="1"/>
    <col min="243" max="243" width="20.7109375" style="220" bestFit="1" customWidth="1"/>
    <col min="244" max="246" width="20.7109375" style="220" customWidth="1"/>
    <col min="247" max="247" width="20.7109375" style="220" bestFit="1" customWidth="1"/>
    <col min="248" max="248" width="12.140625" style="220" customWidth="1"/>
    <col min="249" max="477" width="8.7109375" style="220" customWidth="1"/>
    <col min="478" max="478" width="7.28515625" style="220" customWidth="1"/>
    <col min="479" max="479" width="18.28515625" style="220" customWidth="1"/>
    <col min="480" max="480" width="23.42578125" style="220" bestFit="1" customWidth="1"/>
    <col min="481" max="482" width="10.140625" style="220" bestFit="1" customWidth="1"/>
    <col min="483" max="485" width="10.140625" style="220" customWidth="1"/>
    <col min="486" max="486" width="16.28515625" style="220" customWidth="1"/>
    <col min="487" max="487" width="20.28515625" style="220" bestFit="1" customWidth="1"/>
    <col min="488" max="490" width="20.28515625" style="220" customWidth="1"/>
    <col min="491" max="491" width="20.28515625" style="220" bestFit="1" customWidth="1"/>
    <col min="492" max="492" width="15.42578125" style="220" customWidth="1"/>
    <col min="493" max="493" width="20.28515625" style="220" bestFit="1" customWidth="1"/>
    <col min="494" max="496" width="20.28515625" style="220" customWidth="1"/>
    <col min="497" max="497" width="20.28515625" style="220" bestFit="1" customWidth="1"/>
    <col min="498" max="498" width="15.42578125" style="220" customWidth="1"/>
    <col min="499" max="499" width="20.7109375" style="220" bestFit="1" customWidth="1"/>
    <col min="500" max="502" width="20.7109375" style="220" customWidth="1"/>
    <col min="503" max="503" width="20.7109375" style="220" bestFit="1" customWidth="1"/>
    <col min="504" max="504" width="12.140625" style="220" customWidth="1"/>
    <col min="505" max="733" width="8.7109375" style="220" customWidth="1"/>
    <col min="734" max="734" width="7.28515625" style="220" customWidth="1"/>
    <col min="735" max="735" width="18.28515625" style="220" customWidth="1"/>
    <col min="736" max="736" width="23.42578125" style="220" bestFit="1" customWidth="1"/>
    <col min="737" max="738" width="10.140625" style="220" bestFit="1" customWidth="1"/>
    <col min="739" max="741" width="10.140625" style="220" customWidth="1"/>
    <col min="742" max="742" width="16.28515625" style="220" customWidth="1"/>
    <col min="743" max="743" width="20.28515625" style="220" bestFit="1" customWidth="1"/>
    <col min="744" max="746" width="20.28515625" style="220" customWidth="1"/>
    <col min="747" max="747" width="20.28515625" style="220" bestFit="1" customWidth="1"/>
    <col min="748" max="748" width="15.42578125" style="220" customWidth="1"/>
    <col min="749" max="749" width="20.28515625" style="220" bestFit="1" customWidth="1"/>
    <col min="750" max="752" width="20.28515625" style="220" customWidth="1"/>
    <col min="753" max="753" width="20.28515625" style="220" bestFit="1" customWidth="1"/>
    <col min="754" max="754" width="15.42578125" style="220" customWidth="1"/>
    <col min="755" max="755" width="20.7109375" style="220" bestFit="1" customWidth="1"/>
    <col min="756" max="758" width="20.7109375" style="220" customWidth="1"/>
    <col min="759" max="759" width="20.7109375" style="220" bestFit="1" customWidth="1"/>
    <col min="760" max="760" width="12.140625" style="220" customWidth="1"/>
    <col min="761" max="989" width="8.7109375" style="220" customWidth="1"/>
    <col min="990" max="990" width="7.28515625" style="220" customWidth="1"/>
    <col min="991" max="991" width="18.28515625" style="220" customWidth="1"/>
    <col min="992" max="992" width="23.42578125" style="220" bestFit="1" customWidth="1"/>
    <col min="993" max="994" width="10.140625" style="220" bestFit="1" customWidth="1"/>
    <col min="995" max="997" width="10.140625" style="220" customWidth="1"/>
    <col min="998" max="998" width="16.28515625" style="220" customWidth="1"/>
    <col min="999" max="999" width="20.28515625" style="220" bestFit="1" customWidth="1"/>
    <col min="1000" max="1002" width="20.28515625" style="220" customWidth="1"/>
    <col min="1003" max="1003" width="20.28515625" style="220" bestFit="1" customWidth="1"/>
    <col min="1004" max="1004" width="15.42578125" style="220" customWidth="1"/>
    <col min="1005" max="1005" width="20.28515625" style="220" bestFit="1" customWidth="1"/>
    <col min="1006" max="1008" width="20.28515625" style="220" customWidth="1"/>
    <col min="1009" max="1009" width="20.28515625" style="220" bestFit="1" customWidth="1"/>
    <col min="1010" max="1010" width="15.42578125" style="220" customWidth="1"/>
    <col min="1011" max="1011" width="20.7109375" style="220" bestFit="1" customWidth="1"/>
    <col min="1012" max="1014" width="20.7109375" style="220" customWidth="1"/>
    <col min="1015" max="1015" width="20.7109375" style="220" bestFit="1" customWidth="1"/>
    <col min="1016" max="1016" width="12.140625" style="220" customWidth="1"/>
    <col min="1017" max="1245" width="8.7109375" style="220" customWidth="1"/>
    <col min="1246" max="1246" width="7.28515625" style="220" customWidth="1"/>
    <col min="1247" max="1247" width="18.28515625" style="220" customWidth="1"/>
    <col min="1248" max="1248" width="23.42578125" style="220" bestFit="1" customWidth="1"/>
    <col min="1249" max="1250" width="10.140625" style="220" bestFit="1" customWidth="1"/>
    <col min="1251" max="1253" width="10.140625" style="220" customWidth="1"/>
    <col min="1254" max="1254" width="16.28515625" style="220" customWidth="1"/>
    <col min="1255" max="1255" width="20.28515625" style="220" bestFit="1" customWidth="1"/>
    <col min="1256" max="1258" width="20.28515625" style="220" customWidth="1"/>
    <col min="1259" max="1259" width="20.28515625" style="220" bestFit="1" customWidth="1"/>
    <col min="1260" max="1260" width="15.42578125" style="220" customWidth="1"/>
    <col min="1261" max="1261" width="20.28515625" style="220" bestFit="1" customWidth="1"/>
    <col min="1262" max="1264" width="20.28515625" style="220" customWidth="1"/>
    <col min="1265" max="1265" width="20.28515625" style="220" bestFit="1" customWidth="1"/>
    <col min="1266" max="1266" width="15.42578125" style="220" customWidth="1"/>
    <col min="1267" max="1267" width="20.7109375" style="220" bestFit="1" customWidth="1"/>
    <col min="1268" max="1270" width="20.7109375" style="220" customWidth="1"/>
    <col min="1271" max="1271" width="20.7109375" style="220" bestFit="1" customWidth="1"/>
    <col min="1272" max="1272" width="12.140625" style="220" customWidth="1"/>
    <col min="1273" max="1501" width="8.7109375" style="220" customWidth="1"/>
    <col min="1502" max="1502" width="7.28515625" style="220" customWidth="1"/>
    <col min="1503" max="1503" width="18.28515625" style="220" customWidth="1"/>
    <col min="1504" max="1504" width="23.42578125" style="220" bestFit="1" customWidth="1"/>
    <col min="1505" max="1506" width="10.140625" style="220" bestFit="1" customWidth="1"/>
    <col min="1507" max="1509" width="10.140625" style="220" customWidth="1"/>
    <col min="1510" max="1510" width="16.28515625" style="220" customWidth="1"/>
    <col min="1511" max="1511" width="20.28515625" style="220" bestFit="1" customWidth="1"/>
    <col min="1512" max="1514" width="20.28515625" style="220" customWidth="1"/>
    <col min="1515" max="1515" width="20.28515625" style="220" bestFit="1" customWidth="1"/>
    <col min="1516" max="1516" width="15.42578125" style="220" customWidth="1"/>
    <col min="1517" max="1517" width="20.28515625" style="220" bestFit="1" customWidth="1"/>
    <col min="1518" max="1520" width="20.28515625" style="220" customWidth="1"/>
    <col min="1521" max="1521" width="20.28515625" style="220" bestFit="1" customWidth="1"/>
    <col min="1522" max="1522" width="15.42578125" style="220" customWidth="1"/>
    <col min="1523" max="1523" width="20.7109375" style="220" bestFit="1" customWidth="1"/>
    <col min="1524" max="1526" width="20.7109375" style="220" customWidth="1"/>
    <col min="1527" max="1527" width="20.7109375" style="220" bestFit="1" customWidth="1"/>
    <col min="1528" max="1528" width="12.140625" style="220" customWidth="1"/>
    <col min="1529" max="1757" width="8.7109375" style="220" customWidth="1"/>
    <col min="1758" max="1758" width="7.28515625" style="220" customWidth="1"/>
    <col min="1759" max="1759" width="18.28515625" style="220" customWidth="1"/>
    <col min="1760" max="1760" width="23.42578125" style="220" bestFit="1" customWidth="1"/>
    <col min="1761" max="1762" width="10.140625" style="220" bestFit="1" customWidth="1"/>
    <col min="1763" max="1765" width="10.140625" style="220" customWidth="1"/>
    <col min="1766" max="1766" width="16.28515625" style="220" customWidth="1"/>
    <col min="1767" max="1767" width="20.28515625" style="220" bestFit="1" customWidth="1"/>
    <col min="1768" max="1770" width="20.28515625" style="220" customWidth="1"/>
    <col min="1771" max="1771" width="20.28515625" style="220" bestFit="1" customWidth="1"/>
    <col min="1772" max="1772" width="15.42578125" style="220" customWidth="1"/>
    <col min="1773" max="1773" width="20.28515625" style="220" bestFit="1" customWidth="1"/>
    <col min="1774" max="1776" width="20.28515625" style="220" customWidth="1"/>
    <col min="1777" max="1777" width="20.28515625" style="220" bestFit="1" customWidth="1"/>
    <col min="1778" max="1778" width="15.42578125" style="220" customWidth="1"/>
    <col min="1779" max="1779" width="20.7109375" style="220" bestFit="1" customWidth="1"/>
    <col min="1780" max="1782" width="20.7109375" style="220" customWidth="1"/>
    <col min="1783" max="1783" width="20.7109375" style="220" bestFit="1" customWidth="1"/>
    <col min="1784" max="1784" width="12.140625" style="220" customWidth="1"/>
    <col min="1785" max="2013" width="8.7109375" style="220" customWidth="1"/>
    <col min="2014" max="2014" width="7.28515625" style="220" customWidth="1"/>
    <col min="2015" max="2015" width="18.28515625" style="220" customWidth="1"/>
    <col min="2016" max="2016" width="23.42578125" style="220" bestFit="1" customWidth="1"/>
    <col min="2017" max="2018" width="10.140625" style="220" bestFit="1" customWidth="1"/>
    <col min="2019" max="2021" width="10.140625" style="220" customWidth="1"/>
    <col min="2022" max="2022" width="16.28515625" style="220" customWidth="1"/>
    <col min="2023" max="2023" width="20.28515625" style="220" bestFit="1" customWidth="1"/>
    <col min="2024" max="2026" width="20.28515625" style="220" customWidth="1"/>
    <col min="2027" max="2027" width="20.28515625" style="220" bestFit="1" customWidth="1"/>
    <col min="2028" max="2028" width="15.42578125" style="220" customWidth="1"/>
    <col min="2029" max="2029" width="20.28515625" style="220" bestFit="1" customWidth="1"/>
    <col min="2030" max="2032" width="20.28515625" style="220" customWidth="1"/>
    <col min="2033" max="2033" width="20.28515625" style="220" bestFit="1" customWidth="1"/>
    <col min="2034" max="2034" width="15.42578125" style="220" customWidth="1"/>
    <col min="2035" max="2035" width="20.7109375" style="220" bestFit="1" customWidth="1"/>
    <col min="2036" max="2038" width="20.7109375" style="220" customWidth="1"/>
    <col min="2039" max="2039" width="20.7109375" style="220" bestFit="1" customWidth="1"/>
    <col min="2040" max="2040" width="12.140625" style="220" customWidth="1"/>
    <col min="2041" max="2269" width="8.7109375" style="220" customWidth="1"/>
    <col min="2270" max="2270" width="7.28515625" style="220" customWidth="1"/>
    <col min="2271" max="2271" width="18.28515625" style="220" customWidth="1"/>
    <col min="2272" max="2272" width="23.42578125" style="220" bestFit="1" customWidth="1"/>
    <col min="2273" max="2274" width="10.140625" style="220" bestFit="1" customWidth="1"/>
    <col min="2275" max="2277" width="10.140625" style="220" customWidth="1"/>
    <col min="2278" max="2278" width="16.28515625" style="220" customWidth="1"/>
    <col min="2279" max="2279" width="20.28515625" style="220" bestFit="1" customWidth="1"/>
    <col min="2280" max="2282" width="20.28515625" style="220" customWidth="1"/>
    <col min="2283" max="2283" width="20.28515625" style="220" bestFit="1" customWidth="1"/>
    <col min="2284" max="2284" width="15.42578125" style="220" customWidth="1"/>
    <col min="2285" max="2285" width="20.28515625" style="220" bestFit="1" customWidth="1"/>
    <col min="2286" max="2288" width="20.28515625" style="220" customWidth="1"/>
    <col min="2289" max="2289" width="20.28515625" style="220" bestFit="1" customWidth="1"/>
    <col min="2290" max="2290" width="15.42578125" style="220" customWidth="1"/>
    <col min="2291" max="2291" width="20.7109375" style="220" bestFit="1" customWidth="1"/>
    <col min="2292" max="2294" width="20.7109375" style="220" customWidth="1"/>
    <col min="2295" max="2295" width="20.7109375" style="220" bestFit="1" customWidth="1"/>
    <col min="2296" max="2296" width="12.140625" style="220" customWidth="1"/>
    <col min="2297" max="2525" width="8.7109375" style="220" customWidth="1"/>
    <col min="2526" max="2526" width="7.28515625" style="220" customWidth="1"/>
    <col min="2527" max="2527" width="18.28515625" style="220" customWidth="1"/>
    <col min="2528" max="2528" width="23.42578125" style="220" bestFit="1" customWidth="1"/>
    <col min="2529" max="2530" width="10.140625" style="220" bestFit="1" customWidth="1"/>
    <col min="2531" max="2533" width="10.140625" style="220" customWidth="1"/>
    <col min="2534" max="2534" width="16.28515625" style="220" customWidth="1"/>
    <col min="2535" max="2535" width="20.28515625" style="220" bestFit="1" customWidth="1"/>
    <col min="2536" max="2538" width="20.28515625" style="220" customWidth="1"/>
    <col min="2539" max="2539" width="20.28515625" style="220" bestFit="1" customWidth="1"/>
    <col min="2540" max="2540" width="15.42578125" style="220" customWidth="1"/>
    <col min="2541" max="2541" width="20.28515625" style="220" bestFit="1" customWidth="1"/>
    <col min="2542" max="2544" width="20.28515625" style="220" customWidth="1"/>
    <col min="2545" max="2545" width="20.28515625" style="220" bestFit="1" customWidth="1"/>
    <col min="2546" max="2546" width="15.42578125" style="220" customWidth="1"/>
    <col min="2547" max="2547" width="20.7109375" style="220" bestFit="1" customWidth="1"/>
    <col min="2548" max="2550" width="20.7109375" style="220" customWidth="1"/>
    <col min="2551" max="2551" width="20.7109375" style="220" bestFit="1" customWidth="1"/>
    <col min="2552" max="2552" width="12.140625" style="220" customWidth="1"/>
    <col min="2553" max="2781" width="8.7109375" style="220" customWidth="1"/>
    <col min="2782" max="2782" width="7.28515625" style="220" customWidth="1"/>
    <col min="2783" max="2783" width="18.28515625" style="220" customWidth="1"/>
    <col min="2784" max="2784" width="23.42578125" style="220" bestFit="1" customWidth="1"/>
    <col min="2785" max="2786" width="10.140625" style="220" bestFit="1" customWidth="1"/>
    <col min="2787" max="2789" width="10.140625" style="220" customWidth="1"/>
    <col min="2790" max="2790" width="16.28515625" style="220" customWidth="1"/>
    <col min="2791" max="2791" width="20.28515625" style="220" bestFit="1" customWidth="1"/>
    <col min="2792" max="2794" width="20.28515625" style="220" customWidth="1"/>
    <col min="2795" max="2795" width="20.28515625" style="220" bestFit="1" customWidth="1"/>
    <col min="2796" max="2796" width="15.42578125" style="220" customWidth="1"/>
    <col min="2797" max="2797" width="20.28515625" style="220" bestFit="1" customWidth="1"/>
    <col min="2798" max="2800" width="20.28515625" style="220" customWidth="1"/>
    <col min="2801" max="2801" width="20.28515625" style="220" bestFit="1" customWidth="1"/>
    <col min="2802" max="2802" width="15.42578125" style="220" customWidth="1"/>
    <col min="2803" max="2803" width="20.7109375" style="220" bestFit="1" customWidth="1"/>
    <col min="2804" max="2806" width="20.7109375" style="220" customWidth="1"/>
    <col min="2807" max="2807" width="20.7109375" style="220" bestFit="1" customWidth="1"/>
    <col min="2808" max="2808" width="12.140625" style="220" customWidth="1"/>
    <col min="2809" max="3037" width="8.7109375" style="220" customWidth="1"/>
    <col min="3038" max="3038" width="7.28515625" style="220" customWidth="1"/>
    <col min="3039" max="3039" width="18.28515625" style="220" customWidth="1"/>
    <col min="3040" max="3040" width="23.42578125" style="220" bestFit="1" customWidth="1"/>
    <col min="3041" max="3042" width="10.140625" style="220" bestFit="1" customWidth="1"/>
    <col min="3043" max="3045" width="10.140625" style="220" customWidth="1"/>
    <col min="3046" max="3046" width="16.28515625" style="220" customWidth="1"/>
    <col min="3047" max="3047" width="20.28515625" style="220" bestFit="1" customWidth="1"/>
    <col min="3048" max="3050" width="20.28515625" style="220" customWidth="1"/>
    <col min="3051" max="3051" width="20.28515625" style="220" bestFit="1" customWidth="1"/>
    <col min="3052" max="3052" width="15.42578125" style="220" customWidth="1"/>
    <col min="3053" max="3053" width="20.28515625" style="220" bestFit="1" customWidth="1"/>
    <col min="3054" max="3056" width="20.28515625" style="220" customWidth="1"/>
    <col min="3057" max="3057" width="20.28515625" style="220" bestFit="1" customWidth="1"/>
    <col min="3058" max="3058" width="15.42578125" style="220" customWidth="1"/>
    <col min="3059" max="3059" width="20.7109375" style="220" bestFit="1" customWidth="1"/>
    <col min="3060" max="3062" width="20.7109375" style="220" customWidth="1"/>
    <col min="3063" max="3063" width="20.7109375" style="220" bestFit="1" customWidth="1"/>
    <col min="3064" max="3064" width="12.140625" style="220" customWidth="1"/>
    <col min="3065" max="3293" width="8.7109375" style="220" customWidth="1"/>
    <col min="3294" max="3294" width="7.28515625" style="220" customWidth="1"/>
    <col min="3295" max="3295" width="18.28515625" style="220" customWidth="1"/>
    <col min="3296" max="3296" width="23.42578125" style="220" bestFit="1" customWidth="1"/>
    <col min="3297" max="3298" width="10.140625" style="220" bestFit="1" customWidth="1"/>
    <col min="3299" max="3301" width="10.140625" style="220" customWidth="1"/>
    <col min="3302" max="3302" width="16.28515625" style="220" customWidth="1"/>
    <col min="3303" max="3303" width="20.28515625" style="220" bestFit="1" customWidth="1"/>
    <col min="3304" max="3306" width="20.28515625" style="220" customWidth="1"/>
    <col min="3307" max="3307" width="20.28515625" style="220" bestFit="1" customWidth="1"/>
    <col min="3308" max="3308" width="15.42578125" style="220" customWidth="1"/>
    <col min="3309" max="3309" width="20.28515625" style="220" bestFit="1" customWidth="1"/>
    <col min="3310" max="3312" width="20.28515625" style="220" customWidth="1"/>
    <col min="3313" max="3313" width="20.28515625" style="220" bestFit="1" customWidth="1"/>
    <col min="3314" max="3314" width="15.42578125" style="220" customWidth="1"/>
    <col min="3315" max="3315" width="20.7109375" style="220" bestFit="1" customWidth="1"/>
    <col min="3316" max="3318" width="20.7109375" style="220" customWidth="1"/>
    <col min="3319" max="3319" width="20.7109375" style="220" bestFit="1" customWidth="1"/>
    <col min="3320" max="3320" width="12.140625" style="220" customWidth="1"/>
    <col min="3321" max="3549" width="8.7109375" style="220" customWidth="1"/>
    <col min="3550" max="3550" width="7.28515625" style="220" customWidth="1"/>
    <col min="3551" max="3551" width="18.28515625" style="220" customWidth="1"/>
    <col min="3552" max="3552" width="23.42578125" style="220" bestFit="1" customWidth="1"/>
    <col min="3553" max="3554" width="10.140625" style="220" bestFit="1" customWidth="1"/>
    <col min="3555" max="3557" width="10.140625" style="220" customWidth="1"/>
    <col min="3558" max="3558" width="16.28515625" style="220" customWidth="1"/>
    <col min="3559" max="3559" width="20.28515625" style="220" bestFit="1" customWidth="1"/>
    <col min="3560" max="3562" width="20.28515625" style="220" customWidth="1"/>
    <col min="3563" max="3563" width="20.28515625" style="220" bestFit="1" customWidth="1"/>
    <col min="3564" max="3564" width="15.42578125" style="220" customWidth="1"/>
    <col min="3565" max="3565" width="20.28515625" style="220" bestFit="1" customWidth="1"/>
    <col min="3566" max="3568" width="20.28515625" style="220" customWidth="1"/>
    <col min="3569" max="3569" width="20.28515625" style="220" bestFit="1" customWidth="1"/>
    <col min="3570" max="3570" width="15.42578125" style="220" customWidth="1"/>
    <col min="3571" max="3571" width="20.7109375" style="220" bestFit="1" customWidth="1"/>
    <col min="3572" max="3574" width="20.7109375" style="220" customWidth="1"/>
    <col min="3575" max="3575" width="20.7109375" style="220" bestFit="1" customWidth="1"/>
    <col min="3576" max="3576" width="12.140625" style="220" customWidth="1"/>
    <col min="3577" max="3805" width="8.7109375" style="220" customWidth="1"/>
    <col min="3806" max="3806" width="7.28515625" style="220" customWidth="1"/>
    <col min="3807" max="3807" width="18.28515625" style="220" customWidth="1"/>
    <col min="3808" max="3808" width="23.42578125" style="220" bestFit="1" customWidth="1"/>
    <col min="3809" max="3810" width="10.140625" style="220" bestFit="1" customWidth="1"/>
    <col min="3811" max="3813" width="10.140625" style="220" customWidth="1"/>
    <col min="3814" max="3814" width="16.28515625" style="220" customWidth="1"/>
    <col min="3815" max="3815" width="20.28515625" style="220" bestFit="1" customWidth="1"/>
    <col min="3816" max="3818" width="20.28515625" style="220" customWidth="1"/>
    <col min="3819" max="3819" width="20.28515625" style="220" bestFit="1" customWidth="1"/>
    <col min="3820" max="3820" width="15.42578125" style="220" customWidth="1"/>
    <col min="3821" max="3821" width="20.28515625" style="220" bestFit="1" customWidth="1"/>
    <col min="3822" max="3824" width="20.28515625" style="220" customWidth="1"/>
    <col min="3825" max="3825" width="20.28515625" style="220" bestFit="1" customWidth="1"/>
    <col min="3826" max="3826" width="15.42578125" style="220" customWidth="1"/>
    <col min="3827" max="3827" width="20.7109375" style="220" bestFit="1" customWidth="1"/>
    <col min="3828" max="3830" width="20.7109375" style="220" customWidth="1"/>
    <col min="3831" max="3831" width="20.7109375" style="220" bestFit="1" customWidth="1"/>
    <col min="3832" max="3832" width="12.140625" style="220" customWidth="1"/>
    <col min="3833" max="4061" width="8.7109375" style="220" customWidth="1"/>
    <col min="4062" max="4062" width="7.28515625" style="220" customWidth="1"/>
    <col min="4063" max="4063" width="18.28515625" style="220" customWidth="1"/>
    <col min="4064" max="4064" width="23.42578125" style="220" bestFit="1" customWidth="1"/>
    <col min="4065" max="4066" width="10.140625" style="220" bestFit="1" customWidth="1"/>
    <col min="4067" max="4069" width="10.140625" style="220" customWidth="1"/>
    <col min="4070" max="4070" width="16.28515625" style="220" customWidth="1"/>
    <col min="4071" max="4071" width="20.28515625" style="220" bestFit="1" customWidth="1"/>
    <col min="4072" max="4074" width="20.28515625" style="220" customWidth="1"/>
    <col min="4075" max="4075" width="20.28515625" style="220" bestFit="1" customWidth="1"/>
    <col min="4076" max="4076" width="15.42578125" style="220" customWidth="1"/>
    <col min="4077" max="4077" width="20.28515625" style="220" bestFit="1" customWidth="1"/>
    <col min="4078" max="4080" width="20.28515625" style="220" customWidth="1"/>
    <col min="4081" max="4081" width="20.28515625" style="220" bestFit="1" customWidth="1"/>
    <col min="4082" max="4082" width="15.42578125" style="220" customWidth="1"/>
    <col min="4083" max="4083" width="20.7109375" style="220" bestFit="1" customWidth="1"/>
    <col min="4084" max="4086" width="20.7109375" style="220" customWidth="1"/>
    <col min="4087" max="4087" width="20.7109375" style="220" bestFit="1" customWidth="1"/>
    <col min="4088" max="4088" width="12.140625" style="220" customWidth="1"/>
    <col min="4089" max="4317" width="8.7109375" style="220" customWidth="1"/>
    <col min="4318" max="4318" width="7.28515625" style="220" customWidth="1"/>
    <col min="4319" max="4319" width="18.28515625" style="220" customWidth="1"/>
    <col min="4320" max="4320" width="23.42578125" style="220" bestFit="1" customWidth="1"/>
    <col min="4321" max="4322" width="10.140625" style="220" bestFit="1" customWidth="1"/>
    <col min="4323" max="4325" width="10.140625" style="220" customWidth="1"/>
    <col min="4326" max="4326" width="16.28515625" style="220" customWidth="1"/>
    <col min="4327" max="4327" width="20.28515625" style="220" bestFit="1" customWidth="1"/>
    <col min="4328" max="4330" width="20.28515625" style="220" customWidth="1"/>
    <col min="4331" max="4331" width="20.28515625" style="220" bestFit="1" customWidth="1"/>
    <col min="4332" max="4332" width="15.42578125" style="220" customWidth="1"/>
    <col min="4333" max="4333" width="20.28515625" style="220" bestFit="1" customWidth="1"/>
    <col min="4334" max="4336" width="20.28515625" style="220" customWidth="1"/>
    <col min="4337" max="4337" width="20.28515625" style="220" bestFit="1" customWidth="1"/>
    <col min="4338" max="4338" width="15.42578125" style="220" customWidth="1"/>
    <col min="4339" max="4339" width="20.7109375" style="220" bestFit="1" customWidth="1"/>
    <col min="4340" max="4342" width="20.7109375" style="220" customWidth="1"/>
    <col min="4343" max="4343" width="20.7109375" style="220" bestFit="1" customWidth="1"/>
    <col min="4344" max="4344" width="12.140625" style="220" customWidth="1"/>
    <col min="4345" max="4573" width="8.7109375" style="220" customWidth="1"/>
    <col min="4574" max="4574" width="7.28515625" style="220" customWidth="1"/>
    <col min="4575" max="4575" width="18.28515625" style="220" customWidth="1"/>
    <col min="4576" max="4576" width="23.42578125" style="220" bestFit="1" customWidth="1"/>
    <col min="4577" max="4578" width="10.140625" style="220" bestFit="1" customWidth="1"/>
    <col min="4579" max="4581" width="10.140625" style="220" customWidth="1"/>
    <col min="4582" max="4582" width="16.28515625" style="220" customWidth="1"/>
    <col min="4583" max="4583" width="20.28515625" style="220" bestFit="1" customWidth="1"/>
    <col min="4584" max="4586" width="20.28515625" style="220" customWidth="1"/>
    <col min="4587" max="4587" width="20.28515625" style="220" bestFit="1" customWidth="1"/>
    <col min="4588" max="4588" width="15.42578125" style="220" customWidth="1"/>
    <col min="4589" max="4589" width="20.28515625" style="220" bestFit="1" customWidth="1"/>
    <col min="4590" max="4592" width="20.28515625" style="220" customWidth="1"/>
    <col min="4593" max="4593" width="20.28515625" style="220" bestFit="1" customWidth="1"/>
    <col min="4594" max="4594" width="15.42578125" style="220" customWidth="1"/>
    <col min="4595" max="4595" width="20.7109375" style="220" bestFit="1" customWidth="1"/>
    <col min="4596" max="4598" width="20.7109375" style="220" customWidth="1"/>
    <col min="4599" max="4599" width="20.7109375" style="220" bestFit="1" customWidth="1"/>
    <col min="4600" max="4600" width="12.140625" style="220" customWidth="1"/>
    <col min="4601" max="4829" width="8.7109375" style="220" customWidth="1"/>
    <col min="4830" max="4830" width="7.28515625" style="220" customWidth="1"/>
    <col min="4831" max="4831" width="18.28515625" style="220" customWidth="1"/>
    <col min="4832" max="4832" width="23.42578125" style="220" bestFit="1" customWidth="1"/>
    <col min="4833" max="4834" width="10.140625" style="220" bestFit="1" customWidth="1"/>
    <col min="4835" max="4837" width="10.140625" style="220" customWidth="1"/>
    <col min="4838" max="4838" width="16.28515625" style="220" customWidth="1"/>
    <col min="4839" max="4839" width="20.28515625" style="220" bestFit="1" customWidth="1"/>
    <col min="4840" max="4842" width="20.28515625" style="220" customWidth="1"/>
    <col min="4843" max="4843" width="20.28515625" style="220" bestFit="1" customWidth="1"/>
    <col min="4844" max="4844" width="15.42578125" style="220" customWidth="1"/>
    <col min="4845" max="4845" width="20.28515625" style="220" bestFit="1" customWidth="1"/>
    <col min="4846" max="4848" width="20.28515625" style="220" customWidth="1"/>
    <col min="4849" max="4849" width="20.28515625" style="220" bestFit="1" customWidth="1"/>
    <col min="4850" max="4850" width="15.42578125" style="220" customWidth="1"/>
    <col min="4851" max="4851" width="20.7109375" style="220" bestFit="1" customWidth="1"/>
    <col min="4852" max="4854" width="20.7109375" style="220" customWidth="1"/>
    <col min="4855" max="4855" width="20.7109375" style="220" bestFit="1" customWidth="1"/>
    <col min="4856" max="4856" width="12.140625" style="220" customWidth="1"/>
    <col min="4857" max="5085" width="8.7109375" style="220" customWidth="1"/>
    <col min="5086" max="5086" width="7.28515625" style="220" customWidth="1"/>
    <col min="5087" max="5087" width="18.28515625" style="220" customWidth="1"/>
    <col min="5088" max="5088" width="23.42578125" style="220" bestFit="1" customWidth="1"/>
    <col min="5089" max="5090" width="10.140625" style="220" bestFit="1" customWidth="1"/>
    <col min="5091" max="5093" width="10.140625" style="220" customWidth="1"/>
    <col min="5094" max="5094" width="16.28515625" style="220" customWidth="1"/>
    <col min="5095" max="5095" width="20.28515625" style="220" bestFit="1" customWidth="1"/>
    <col min="5096" max="5098" width="20.28515625" style="220" customWidth="1"/>
    <col min="5099" max="5099" width="20.28515625" style="220" bestFit="1" customWidth="1"/>
    <col min="5100" max="5100" width="15.42578125" style="220" customWidth="1"/>
    <col min="5101" max="5101" width="20.28515625" style="220" bestFit="1" customWidth="1"/>
    <col min="5102" max="5104" width="20.28515625" style="220" customWidth="1"/>
    <col min="5105" max="5105" width="20.28515625" style="220" bestFit="1" customWidth="1"/>
    <col min="5106" max="5106" width="15.42578125" style="220" customWidth="1"/>
    <col min="5107" max="5107" width="20.7109375" style="220" bestFit="1" customWidth="1"/>
    <col min="5108" max="5110" width="20.7109375" style="220" customWidth="1"/>
    <col min="5111" max="5111" width="20.7109375" style="220" bestFit="1" customWidth="1"/>
    <col min="5112" max="5112" width="12.140625" style="220" customWidth="1"/>
    <col min="5113" max="5341" width="8.7109375" style="220" customWidth="1"/>
    <col min="5342" max="5342" width="7.28515625" style="220" customWidth="1"/>
    <col min="5343" max="5343" width="18.28515625" style="220" customWidth="1"/>
    <col min="5344" max="5344" width="23.42578125" style="220" bestFit="1" customWidth="1"/>
    <col min="5345" max="5346" width="10.140625" style="220" bestFit="1" customWidth="1"/>
    <col min="5347" max="5349" width="10.140625" style="220" customWidth="1"/>
    <col min="5350" max="5350" width="16.28515625" style="220" customWidth="1"/>
    <col min="5351" max="5351" width="20.28515625" style="220" bestFit="1" customWidth="1"/>
    <col min="5352" max="5354" width="20.28515625" style="220" customWidth="1"/>
    <col min="5355" max="5355" width="20.28515625" style="220" bestFit="1" customWidth="1"/>
    <col min="5356" max="5356" width="15.42578125" style="220" customWidth="1"/>
    <col min="5357" max="5357" width="20.28515625" style="220" bestFit="1" customWidth="1"/>
    <col min="5358" max="5360" width="20.28515625" style="220" customWidth="1"/>
    <col min="5361" max="5361" width="20.28515625" style="220" bestFit="1" customWidth="1"/>
    <col min="5362" max="5362" width="15.42578125" style="220" customWidth="1"/>
    <col min="5363" max="5363" width="20.7109375" style="220" bestFit="1" customWidth="1"/>
    <col min="5364" max="5366" width="20.7109375" style="220" customWidth="1"/>
    <col min="5367" max="5367" width="20.7109375" style="220" bestFit="1" customWidth="1"/>
    <col min="5368" max="5368" width="12.140625" style="220" customWidth="1"/>
    <col min="5369" max="5597" width="8.7109375" style="220" customWidth="1"/>
    <col min="5598" max="5598" width="7.28515625" style="220" customWidth="1"/>
    <col min="5599" max="5599" width="18.28515625" style="220" customWidth="1"/>
    <col min="5600" max="5600" width="23.42578125" style="220" bestFit="1" customWidth="1"/>
    <col min="5601" max="5602" width="10.140625" style="220" bestFit="1" customWidth="1"/>
    <col min="5603" max="5605" width="10.140625" style="220" customWidth="1"/>
    <col min="5606" max="5606" width="16.28515625" style="220" customWidth="1"/>
    <col min="5607" max="5607" width="20.28515625" style="220" bestFit="1" customWidth="1"/>
    <col min="5608" max="5610" width="20.28515625" style="220" customWidth="1"/>
    <col min="5611" max="5611" width="20.28515625" style="220" bestFit="1" customWidth="1"/>
    <col min="5612" max="5612" width="15.42578125" style="220" customWidth="1"/>
    <col min="5613" max="5613" width="20.28515625" style="220" bestFit="1" customWidth="1"/>
    <col min="5614" max="5616" width="20.28515625" style="220" customWidth="1"/>
    <col min="5617" max="5617" width="20.28515625" style="220" bestFit="1" customWidth="1"/>
    <col min="5618" max="5618" width="15.42578125" style="220" customWidth="1"/>
    <col min="5619" max="5619" width="20.7109375" style="220" bestFit="1" customWidth="1"/>
    <col min="5620" max="5622" width="20.7109375" style="220" customWidth="1"/>
    <col min="5623" max="5623" width="20.7109375" style="220" bestFit="1" customWidth="1"/>
    <col min="5624" max="5624" width="12.140625" style="220" customWidth="1"/>
    <col min="5625" max="5853" width="8.7109375" style="220" customWidth="1"/>
    <col min="5854" max="5854" width="7.28515625" style="220" customWidth="1"/>
    <col min="5855" max="5855" width="18.28515625" style="220" customWidth="1"/>
    <col min="5856" max="5856" width="23.42578125" style="220" bestFit="1" customWidth="1"/>
    <col min="5857" max="5858" width="10.140625" style="220" bestFit="1" customWidth="1"/>
    <col min="5859" max="5861" width="10.140625" style="220" customWidth="1"/>
    <col min="5862" max="5862" width="16.28515625" style="220" customWidth="1"/>
    <col min="5863" max="5863" width="20.28515625" style="220" bestFit="1" customWidth="1"/>
    <col min="5864" max="5866" width="20.28515625" style="220" customWidth="1"/>
    <col min="5867" max="5867" width="20.28515625" style="220" bestFit="1" customWidth="1"/>
    <col min="5868" max="5868" width="15.42578125" style="220" customWidth="1"/>
    <col min="5869" max="5869" width="20.28515625" style="220" bestFit="1" customWidth="1"/>
    <col min="5870" max="5872" width="20.28515625" style="220" customWidth="1"/>
    <col min="5873" max="5873" width="20.28515625" style="220" bestFit="1" customWidth="1"/>
    <col min="5874" max="5874" width="15.42578125" style="220" customWidth="1"/>
    <col min="5875" max="5875" width="20.7109375" style="220" bestFit="1" customWidth="1"/>
    <col min="5876" max="5878" width="20.7109375" style="220" customWidth="1"/>
    <col min="5879" max="5879" width="20.7109375" style="220" bestFit="1" customWidth="1"/>
    <col min="5880" max="5880" width="12.140625" style="220" customWidth="1"/>
    <col min="5881" max="6109" width="8.7109375" style="220" customWidth="1"/>
    <col min="6110" max="6110" width="7.28515625" style="220" customWidth="1"/>
    <col min="6111" max="6111" width="18.28515625" style="220" customWidth="1"/>
    <col min="6112" max="6112" width="23.42578125" style="220" bestFit="1" customWidth="1"/>
    <col min="6113" max="6114" width="10.140625" style="220" bestFit="1" customWidth="1"/>
    <col min="6115" max="6117" width="10.140625" style="220" customWidth="1"/>
    <col min="6118" max="6118" width="16.28515625" style="220" customWidth="1"/>
    <col min="6119" max="6119" width="20.28515625" style="220" bestFit="1" customWidth="1"/>
    <col min="6120" max="6122" width="20.28515625" style="220" customWidth="1"/>
    <col min="6123" max="6123" width="20.28515625" style="220" bestFit="1" customWidth="1"/>
    <col min="6124" max="6124" width="15.42578125" style="220" customWidth="1"/>
    <col min="6125" max="6125" width="20.28515625" style="220" bestFit="1" customWidth="1"/>
    <col min="6126" max="6128" width="20.28515625" style="220" customWidth="1"/>
    <col min="6129" max="6129" width="20.28515625" style="220" bestFit="1" customWidth="1"/>
    <col min="6130" max="6130" width="15.42578125" style="220" customWidth="1"/>
    <col min="6131" max="6131" width="20.7109375" style="220" bestFit="1" customWidth="1"/>
    <col min="6132" max="6134" width="20.7109375" style="220" customWidth="1"/>
    <col min="6135" max="6135" width="20.7109375" style="220" bestFit="1" customWidth="1"/>
    <col min="6136" max="6136" width="12.140625" style="220" customWidth="1"/>
    <col min="6137" max="6365" width="8.7109375" style="220" customWidth="1"/>
    <col min="6366" max="6366" width="7.28515625" style="220" customWidth="1"/>
    <col min="6367" max="6367" width="18.28515625" style="220" customWidth="1"/>
    <col min="6368" max="6368" width="23.42578125" style="220" bestFit="1" customWidth="1"/>
    <col min="6369" max="6370" width="10.140625" style="220" bestFit="1" customWidth="1"/>
    <col min="6371" max="6373" width="10.140625" style="220" customWidth="1"/>
    <col min="6374" max="6374" width="16.28515625" style="220" customWidth="1"/>
    <col min="6375" max="6375" width="20.28515625" style="220" bestFit="1" customWidth="1"/>
    <col min="6376" max="6378" width="20.28515625" style="220" customWidth="1"/>
    <col min="6379" max="6379" width="20.28515625" style="220" bestFit="1" customWidth="1"/>
    <col min="6380" max="6380" width="15.42578125" style="220" customWidth="1"/>
    <col min="6381" max="6381" width="20.28515625" style="220" bestFit="1" customWidth="1"/>
    <col min="6382" max="6384" width="20.28515625" style="220" customWidth="1"/>
    <col min="6385" max="6385" width="20.28515625" style="220" bestFit="1" customWidth="1"/>
    <col min="6386" max="6386" width="15.42578125" style="220" customWidth="1"/>
    <col min="6387" max="6387" width="20.7109375" style="220" bestFit="1" customWidth="1"/>
    <col min="6388" max="6390" width="20.7109375" style="220" customWidth="1"/>
    <col min="6391" max="6391" width="20.7109375" style="220" bestFit="1" customWidth="1"/>
    <col min="6392" max="6392" width="12.140625" style="220" customWidth="1"/>
    <col min="6393" max="6621" width="8.7109375" style="220" customWidth="1"/>
    <col min="6622" max="6622" width="7.28515625" style="220" customWidth="1"/>
    <col min="6623" max="6623" width="18.28515625" style="220" customWidth="1"/>
    <col min="6624" max="6624" width="23.42578125" style="220" bestFit="1" customWidth="1"/>
    <col min="6625" max="6626" width="10.140625" style="220" bestFit="1" customWidth="1"/>
    <col min="6627" max="6629" width="10.140625" style="220" customWidth="1"/>
    <col min="6630" max="6630" width="16.28515625" style="220" customWidth="1"/>
    <col min="6631" max="6631" width="20.28515625" style="220" bestFit="1" customWidth="1"/>
    <col min="6632" max="6634" width="20.28515625" style="220" customWidth="1"/>
    <col min="6635" max="6635" width="20.28515625" style="220" bestFit="1" customWidth="1"/>
    <col min="6636" max="6636" width="15.42578125" style="220" customWidth="1"/>
    <col min="6637" max="6637" width="20.28515625" style="220" bestFit="1" customWidth="1"/>
    <col min="6638" max="6640" width="20.28515625" style="220" customWidth="1"/>
    <col min="6641" max="6641" width="20.28515625" style="220" bestFit="1" customWidth="1"/>
    <col min="6642" max="6642" width="15.42578125" style="220" customWidth="1"/>
    <col min="6643" max="6643" width="20.7109375" style="220" bestFit="1" customWidth="1"/>
    <col min="6644" max="6646" width="20.7109375" style="220" customWidth="1"/>
    <col min="6647" max="6647" width="20.7109375" style="220" bestFit="1" customWidth="1"/>
    <col min="6648" max="6648" width="12.140625" style="220" customWidth="1"/>
    <col min="6649" max="6877" width="8.7109375" style="220" customWidth="1"/>
    <col min="6878" max="6878" width="7.28515625" style="220" customWidth="1"/>
    <col min="6879" max="6879" width="18.28515625" style="220" customWidth="1"/>
    <col min="6880" max="6880" width="23.42578125" style="220" bestFit="1" customWidth="1"/>
    <col min="6881" max="6882" width="10.140625" style="220" bestFit="1" customWidth="1"/>
    <col min="6883" max="6885" width="10.140625" style="220" customWidth="1"/>
    <col min="6886" max="6886" width="16.28515625" style="220" customWidth="1"/>
    <col min="6887" max="6887" width="20.28515625" style="220" bestFit="1" customWidth="1"/>
    <col min="6888" max="6890" width="20.28515625" style="220" customWidth="1"/>
    <col min="6891" max="6891" width="20.28515625" style="220" bestFit="1" customWidth="1"/>
    <col min="6892" max="6892" width="15.42578125" style="220" customWidth="1"/>
    <col min="6893" max="6893" width="20.28515625" style="220" bestFit="1" customWidth="1"/>
    <col min="6894" max="6896" width="20.28515625" style="220" customWidth="1"/>
    <col min="6897" max="6897" width="20.28515625" style="220" bestFit="1" customWidth="1"/>
    <col min="6898" max="6898" width="15.42578125" style="220" customWidth="1"/>
    <col min="6899" max="6899" width="20.7109375" style="220" bestFit="1" customWidth="1"/>
    <col min="6900" max="6902" width="20.7109375" style="220" customWidth="1"/>
    <col min="6903" max="6903" width="20.7109375" style="220" bestFit="1" customWidth="1"/>
    <col min="6904" max="6904" width="12.140625" style="220" customWidth="1"/>
    <col min="6905" max="7133" width="8.7109375" style="220" customWidth="1"/>
    <col min="7134" max="7134" width="7.28515625" style="220" customWidth="1"/>
    <col min="7135" max="7135" width="18.28515625" style="220" customWidth="1"/>
    <col min="7136" max="7136" width="23.42578125" style="220" bestFit="1" customWidth="1"/>
    <col min="7137" max="7138" width="10.140625" style="220" bestFit="1" customWidth="1"/>
    <col min="7139" max="7141" width="10.140625" style="220" customWidth="1"/>
    <col min="7142" max="7142" width="16.28515625" style="220" customWidth="1"/>
    <col min="7143" max="7143" width="20.28515625" style="220" bestFit="1" customWidth="1"/>
    <col min="7144" max="7146" width="20.28515625" style="220" customWidth="1"/>
    <col min="7147" max="7147" width="20.28515625" style="220" bestFit="1" customWidth="1"/>
    <col min="7148" max="7148" width="15.42578125" style="220" customWidth="1"/>
    <col min="7149" max="7149" width="20.28515625" style="220" bestFit="1" customWidth="1"/>
    <col min="7150" max="7152" width="20.28515625" style="220" customWidth="1"/>
    <col min="7153" max="7153" width="20.28515625" style="220" bestFit="1" customWidth="1"/>
    <col min="7154" max="7154" width="15.42578125" style="220" customWidth="1"/>
    <col min="7155" max="7155" width="20.7109375" style="220" bestFit="1" customWidth="1"/>
    <col min="7156" max="7158" width="20.7109375" style="220" customWidth="1"/>
    <col min="7159" max="7159" width="20.7109375" style="220" bestFit="1" customWidth="1"/>
    <col min="7160" max="7160" width="12.140625" style="220" customWidth="1"/>
    <col min="7161" max="7389" width="8.7109375" style="220" customWidth="1"/>
    <col min="7390" max="7390" width="7.28515625" style="220" customWidth="1"/>
    <col min="7391" max="7391" width="18.28515625" style="220" customWidth="1"/>
    <col min="7392" max="7392" width="23.42578125" style="220" bestFit="1" customWidth="1"/>
    <col min="7393" max="7394" width="10.140625" style="220" bestFit="1" customWidth="1"/>
    <col min="7395" max="7397" width="10.140625" style="220" customWidth="1"/>
    <col min="7398" max="7398" width="16.28515625" style="220" customWidth="1"/>
    <col min="7399" max="7399" width="20.28515625" style="220" bestFit="1" customWidth="1"/>
    <col min="7400" max="7402" width="20.28515625" style="220" customWidth="1"/>
    <col min="7403" max="7403" width="20.28515625" style="220" bestFit="1" customWidth="1"/>
    <col min="7404" max="7404" width="15.42578125" style="220" customWidth="1"/>
    <col min="7405" max="7405" width="20.28515625" style="220" bestFit="1" customWidth="1"/>
    <col min="7406" max="7408" width="20.28515625" style="220" customWidth="1"/>
    <col min="7409" max="7409" width="20.28515625" style="220" bestFit="1" customWidth="1"/>
    <col min="7410" max="7410" width="15.42578125" style="220" customWidth="1"/>
    <col min="7411" max="7411" width="20.7109375" style="220" bestFit="1" customWidth="1"/>
    <col min="7412" max="7414" width="20.7109375" style="220" customWidth="1"/>
    <col min="7415" max="7415" width="20.7109375" style="220" bestFit="1" customWidth="1"/>
    <col min="7416" max="7416" width="12.140625" style="220" customWidth="1"/>
    <col min="7417" max="7645" width="8.7109375" style="220" customWidth="1"/>
    <col min="7646" max="7646" width="7.28515625" style="220" customWidth="1"/>
    <col min="7647" max="7647" width="18.28515625" style="220" customWidth="1"/>
    <col min="7648" max="7648" width="23.42578125" style="220" bestFit="1" customWidth="1"/>
    <col min="7649" max="7650" width="10.140625" style="220" bestFit="1" customWidth="1"/>
    <col min="7651" max="7653" width="10.140625" style="220" customWidth="1"/>
    <col min="7654" max="7654" width="16.28515625" style="220" customWidth="1"/>
    <col min="7655" max="7655" width="20.28515625" style="220" bestFit="1" customWidth="1"/>
    <col min="7656" max="7658" width="20.28515625" style="220" customWidth="1"/>
    <col min="7659" max="7659" width="20.28515625" style="220" bestFit="1" customWidth="1"/>
    <col min="7660" max="7660" width="15.42578125" style="220" customWidth="1"/>
    <col min="7661" max="7661" width="20.28515625" style="220" bestFit="1" customWidth="1"/>
    <col min="7662" max="7664" width="20.28515625" style="220" customWidth="1"/>
    <col min="7665" max="7665" width="20.28515625" style="220" bestFit="1" customWidth="1"/>
    <col min="7666" max="7666" width="15.42578125" style="220" customWidth="1"/>
    <col min="7667" max="7667" width="20.7109375" style="220" bestFit="1" customWidth="1"/>
    <col min="7668" max="7670" width="20.7109375" style="220" customWidth="1"/>
    <col min="7671" max="7671" width="20.7109375" style="220" bestFit="1" customWidth="1"/>
    <col min="7672" max="7672" width="12.140625" style="220" customWidth="1"/>
    <col min="7673" max="7901" width="8.7109375" style="220" customWidth="1"/>
    <col min="7902" max="7902" width="7.28515625" style="220" customWidth="1"/>
    <col min="7903" max="7903" width="18.28515625" style="220" customWidth="1"/>
    <col min="7904" max="7904" width="23.42578125" style="220" bestFit="1" customWidth="1"/>
    <col min="7905" max="7906" width="10.140625" style="220" bestFit="1" customWidth="1"/>
    <col min="7907" max="7909" width="10.140625" style="220" customWidth="1"/>
    <col min="7910" max="7910" width="16.28515625" style="220" customWidth="1"/>
    <col min="7911" max="7911" width="20.28515625" style="220" bestFit="1" customWidth="1"/>
    <col min="7912" max="7914" width="20.28515625" style="220" customWidth="1"/>
    <col min="7915" max="7915" width="20.28515625" style="220" bestFit="1" customWidth="1"/>
    <col min="7916" max="7916" width="15.42578125" style="220" customWidth="1"/>
    <col min="7917" max="7917" width="20.28515625" style="220" bestFit="1" customWidth="1"/>
    <col min="7918" max="7920" width="20.28515625" style="220" customWidth="1"/>
    <col min="7921" max="7921" width="20.28515625" style="220" bestFit="1" customWidth="1"/>
    <col min="7922" max="7922" width="15.42578125" style="220" customWidth="1"/>
    <col min="7923" max="7923" width="20.7109375" style="220" bestFit="1" customWidth="1"/>
    <col min="7924" max="7926" width="20.7109375" style="220" customWidth="1"/>
    <col min="7927" max="7927" width="20.7109375" style="220" bestFit="1" customWidth="1"/>
    <col min="7928" max="7928" width="12.140625" style="220" customWidth="1"/>
    <col min="7929" max="8157" width="8.7109375" style="220" customWidth="1"/>
    <col min="8158" max="8158" width="7.28515625" style="220" customWidth="1"/>
    <col min="8159" max="8159" width="18.28515625" style="220" customWidth="1"/>
    <col min="8160" max="8160" width="23.42578125" style="220" bestFit="1" customWidth="1"/>
    <col min="8161" max="8162" width="10.140625" style="220" bestFit="1" customWidth="1"/>
    <col min="8163" max="8165" width="10.140625" style="220" customWidth="1"/>
    <col min="8166" max="8166" width="16.28515625" style="220" customWidth="1"/>
    <col min="8167" max="8167" width="20.28515625" style="220" bestFit="1" customWidth="1"/>
    <col min="8168" max="8170" width="20.28515625" style="220" customWidth="1"/>
    <col min="8171" max="8171" width="20.28515625" style="220" bestFit="1" customWidth="1"/>
    <col min="8172" max="8172" width="15.42578125" style="220" customWidth="1"/>
    <col min="8173" max="8173" width="20.28515625" style="220" bestFit="1" customWidth="1"/>
    <col min="8174" max="8176" width="20.28515625" style="220" customWidth="1"/>
    <col min="8177" max="8177" width="20.28515625" style="220" bestFit="1" customWidth="1"/>
    <col min="8178" max="8178" width="15.42578125" style="220" customWidth="1"/>
    <col min="8179" max="8179" width="20.7109375" style="220" bestFit="1" customWidth="1"/>
    <col min="8180" max="8182" width="20.7109375" style="220" customWidth="1"/>
    <col min="8183" max="8183" width="20.7109375" style="220" bestFit="1" customWidth="1"/>
    <col min="8184" max="8184" width="12.140625" style="220" customWidth="1"/>
    <col min="8185" max="8413" width="8.7109375" style="220" customWidth="1"/>
    <col min="8414" max="8414" width="7.28515625" style="220" customWidth="1"/>
    <col min="8415" max="8415" width="18.28515625" style="220" customWidth="1"/>
    <col min="8416" max="8416" width="23.42578125" style="220" bestFit="1" customWidth="1"/>
    <col min="8417" max="8418" width="10.140625" style="220" bestFit="1" customWidth="1"/>
    <col min="8419" max="8421" width="10.140625" style="220" customWidth="1"/>
    <col min="8422" max="8422" width="16.28515625" style="220" customWidth="1"/>
    <col min="8423" max="8423" width="20.28515625" style="220" bestFit="1" customWidth="1"/>
    <col min="8424" max="8426" width="20.28515625" style="220" customWidth="1"/>
    <col min="8427" max="8427" width="20.28515625" style="220" bestFit="1" customWidth="1"/>
    <col min="8428" max="8428" width="15.42578125" style="220" customWidth="1"/>
    <col min="8429" max="8429" width="20.28515625" style="220" bestFit="1" customWidth="1"/>
    <col min="8430" max="8432" width="20.28515625" style="220" customWidth="1"/>
    <col min="8433" max="8433" width="20.28515625" style="220" bestFit="1" customWidth="1"/>
    <col min="8434" max="8434" width="15.42578125" style="220" customWidth="1"/>
    <col min="8435" max="8435" width="20.7109375" style="220" bestFit="1" customWidth="1"/>
    <col min="8436" max="8438" width="20.7109375" style="220" customWidth="1"/>
    <col min="8439" max="8439" width="20.7109375" style="220" bestFit="1" customWidth="1"/>
    <col min="8440" max="8440" width="12.140625" style="220" customWidth="1"/>
    <col min="8441" max="8669" width="8.7109375" style="220" customWidth="1"/>
    <col min="8670" max="8670" width="7.28515625" style="220" customWidth="1"/>
    <col min="8671" max="8671" width="18.28515625" style="220" customWidth="1"/>
    <col min="8672" max="8672" width="23.42578125" style="220" bestFit="1" customWidth="1"/>
    <col min="8673" max="8674" width="10.140625" style="220" bestFit="1" customWidth="1"/>
    <col min="8675" max="8677" width="10.140625" style="220" customWidth="1"/>
    <col min="8678" max="8678" width="16.28515625" style="220" customWidth="1"/>
    <col min="8679" max="8679" width="20.28515625" style="220" bestFit="1" customWidth="1"/>
    <col min="8680" max="8682" width="20.28515625" style="220" customWidth="1"/>
    <col min="8683" max="8683" width="20.28515625" style="220" bestFit="1" customWidth="1"/>
    <col min="8684" max="8684" width="15.42578125" style="220" customWidth="1"/>
    <col min="8685" max="8685" width="20.28515625" style="220" bestFit="1" customWidth="1"/>
    <col min="8686" max="8688" width="20.28515625" style="220" customWidth="1"/>
    <col min="8689" max="8689" width="20.28515625" style="220" bestFit="1" customWidth="1"/>
    <col min="8690" max="8690" width="15.42578125" style="220" customWidth="1"/>
    <col min="8691" max="8691" width="20.7109375" style="220" bestFit="1" customWidth="1"/>
    <col min="8692" max="8694" width="20.7109375" style="220" customWidth="1"/>
    <col min="8695" max="8695" width="20.7109375" style="220" bestFit="1" customWidth="1"/>
    <col min="8696" max="8696" width="12.140625" style="220" customWidth="1"/>
    <col min="8697" max="8925" width="8.7109375" style="220" customWidth="1"/>
    <col min="8926" max="8926" width="7.28515625" style="220" customWidth="1"/>
    <col min="8927" max="8927" width="18.28515625" style="220" customWidth="1"/>
    <col min="8928" max="8928" width="23.42578125" style="220" bestFit="1" customWidth="1"/>
    <col min="8929" max="8930" width="10.140625" style="220" bestFit="1" customWidth="1"/>
    <col min="8931" max="8933" width="10.140625" style="220" customWidth="1"/>
    <col min="8934" max="8934" width="16.28515625" style="220" customWidth="1"/>
    <col min="8935" max="8935" width="20.28515625" style="220" bestFit="1" customWidth="1"/>
    <col min="8936" max="8938" width="20.28515625" style="220" customWidth="1"/>
    <col min="8939" max="8939" width="20.28515625" style="220" bestFit="1" customWidth="1"/>
    <col min="8940" max="8940" width="15.42578125" style="220" customWidth="1"/>
    <col min="8941" max="8941" width="20.28515625" style="220" bestFit="1" customWidth="1"/>
    <col min="8942" max="8944" width="20.28515625" style="220" customWidth="1"/>
    <col min="8945" max="8945" width="20.28515625" style="220" bestFit="1" customWidth="1"/>
    <col min="8946" max="8946" width="15.42578125" style="220" customWidth="1"/>
    <col min="8947" max="8947" width="20.7109375" style="220" bestFit="1" customWidth="1"/>
    <col min="8948" max="8950" width="20.7109375" style="220" customWidth="1"/>
    <col min="8951" max="8951" width="20.7109375" style="220" bestFit="1" customWidth="1"/>
    <col min="8952" max="8952" width="12.140625" style="220" customWidth="1"/>
    <col min="8953" max="9181" width="8.7109375" style="220" customWidth="1"/>
    <col min="9182" max="9182" width="7.28515625" style="220" customWidth="1"/>
    <col min="9183" max="9183" width="18.28515625" style="220" customWidth="1"/>
    <col min="9184" max="9184" width="23.42578125" style="220" bestFit="1" customWidth="1"/>
    <col min="9185" max="9186" width="10.140625" style="220" bestFit="1" customWidth="1"/>
    <col min="9187" max="9189" width="10.140625" style="220" customWidth="1"/>
    <col min="9190" max="9190" width="16.28515625" style="220" customWidth="1"/>
    <col min="9191" max="9191" width="20.28515625" style="220" bestFit="1" customWidth="1"/>
    <col min="9192" max="9194" width="20.28515625" style="220" customWidth="1"/>
    <col min="9195" max="9195" width="20.28515625" style="220" bestFit="1" customWidth="1"/>
    <col min="9196" max="9196" width="15.42578125" style="220" customWidth="1"/>
    <col min="9197" max="9197" width="20.28515625" style="220" bestFit="1" customWidth="1"/>
    <col min="9198" max="9200" width="20.28515625" style="220" customWidth="1"/>
    <col min="9201" max="9201" width="20.28515625" style="220" bestFit="1" customWidth="1"/>
    <col min="9202" max="9202" width="15.42578125" style="220" customWidth="1"/>
    <col min="9203" max="9203" width="20.7109375" style="220" bestFit="1" customWidth="1"/>
    <col min="9204" max="9206" width="20.7109375" style="220" customWidth="1"/>
    <col min="9207" max="9207" width="20.7109375" style="220" bestFit="1" customWidth="1"/>
    <col min="9208" max="9208" width="12.140625" style="220" customWidth="1"/>
    <col min="9209" max="9437" width="8.7109375" style="220" customWidth="1"/>
    <col min="9438" max="9438" width="7.28515625" style="220" customWidth="1"/>
    <col min="9439" max="9439" width="18.28515625" style="220" customWidth="1"/>
    <col min="9440" max="9440" width="23.42578125" style="220" bestFit="1" customWidth="1"/>
    <col min="9441" max="9442" width="10.140625" style="220" bestFit="1" customWidth="1"/>
    <col min="9443" max="9445" width="10.140625" style="220" customWidth="1"/>
    <col min="9446" max="9446" width="16.28515625" style="220" customWidth="1"/>
    <col min="9447" max="9447" width="20.28515625" style="220" bestFit="1" customWidth="1"/>
    <col min="9448" max="9450" width="20.28515625" style="220" customWidth="1"/>
    <col min="9451" max="9451" width="20.28515625" style="220" bestFit="1" customWidth="1"/>
    <col min="9452" max="9452" width="15.42578125" style="220" customWidth="1"/>
    <col min="9453" max="9453" width="20.28515625" style="220" bestFit="1" customWidth="1"/>
    <col min="9454" max="9456" width="20.28515625" style="220" customWidth="1"/>
    <col min="9457" max="9457" width="20.28515625" style="220" bestFit="1" customWidth="1"/>
    <col min="9458" max="9458" width="15.42578125" style="220" customWidth="1"/>
    <col min="9459" max="9459" width="20.7109375" style="220" bestFit="1" customWidth="1"/>
    <col min="9460" max="9462" width="20.7109375" style="220" customWidth="1"/>
    <col min="9463" max="9463" width="20.7109375" style="220" bestFit="1" customWidth="1"/>
    <col min="9464" max="9464" width="12.140625" style="220" customWidth="1"/>
    <col min="9465" max="9693" width="8.7109375" style="220" customWidth="1"/>
    <col min="9694" max="9694" width="7.28515625" style="220" customWidth="1"/>
    <col min="9695" max="9695" width="18.28515625" style="220" customWidth="1"/>
    <col min="9696" max="9696" width="23.42578125" style="220" bestFit="1" customWidth="1"/>
    <col min="9697" max="9698" width="10.140625" style="220" bestFit="1" customWidth="1"/>
    <col min="9699" max="9701" width="10.140625" style="220" customWidth="1"/>
    <col min="9702" max="9702" width="16.28515625" style="220" customWidth="1"/>
    <col min="9703" max="9703" width="20.28515625" style="220" bestFit="1" customWidth="1"/>
    <col min="9704" max="9706" width="20.28515625" style="220" customWidth="1"/>
    <col min="9707" max="9707" width="20.28515625" style="220" bestFit="1" customWidth="1"/>
    <col min="9708" max="9708" width="15.42578125" style="220" customWidth="1"/>
    <col min="9709" max="9709" width="20.28515625" style="220" bestFit="1" customWidth="1"/>
    <col min="9710" max="9712" width="20.28515625" style="220" customWidth="1"/>
    <col min="9713" max="9713" width="20.28515625" style="220" bestFit="1" customWidth="1"/>
    <col min="9714" max="9714" width="15.42578125" style="220" customWidth="1"/>
    <col min="9715" max="9715" width="20.7109375" style="220" bestFit="1" customWidth="1"/>
    <col min="9716" max="9718" width="20.7109375" style="220" customWidth="1"/>
    <col min="9719" max="9719" width="20.7109375" style="220" bestFit="1" customWidth="1"/>
    <col min="9720" max="9720" width="12.140625" style="220" customWidth="1"/>
    <col min="9721" max="9949" width="8.7109375" style="220" customWidth="1"/>
    <col min="9950" max="9950" width="7.28515625" style="220" customWidth="1"/>
    <col min="9951" max="9951" width="18.28515625" style="220" customWidth="1"/>
    <col min="9952" max="9952" width="23.42578125" style="220" bestFit="1" customWidth="1"/>
    <col min="9953" max="9954" width="10.140625" style="220" bestFit="1" customWidth="1"/>
    <col min="9955" max="9957" width="10.140625" style="220" customWidth="1"/>
    <col min="9958" max="9958" width="16.28515625" style="220" customWidth="1"/>
    <col min="9959" max="9959" width="20.28515625" style="220" bestFit="1" customWidth="1"/>
    <col min="9960" max="9962" width="20.28515625" style="220" customWidth="1"/>
    <col min="9963" max="9963" width="20.28515625" style="220" bestFit="1" customWidth="1"/>
    <col min="9964" max="9964" width="15.42578125" style="220" customWidth="1"/>
    <col min="9965" max="9965" width="20.28515625" style="220" bestFit="1" customWidth="1"/>
    <col min="9966" max="9968" width="20.28515625" style="220" customWidth="1"/>
    <col min="9969" max="9969" width="20.28515625" style="220" bestFit="1" customWidth="1"/>
    <col min="9970" max="9970" width="15.42578125" style="220" customWidth="1"/>
    <col min="9971" max="9971" width="20.7109375" style="220" bestFit="1" customWidth="1"/>
    <col min="9972" max="9974" width="20.7109375" style="220" customWidth="1"/>
    <col min="9975" max="9975" width="20.7109375" style="220" bestFit="1" customWidth="1"/>
    <col min="9976" max="9976" width="12.140625" style="220" customWidth="1"/>
    <col min="9977" max="10205" width="8.7109375" style="220" customWidth="1"/>
    <col min="10206" max="10206" width="7.28515625" style="220" customWidth="1"/>
    <col min="10207" max="10207" width="18.28515625" style="220" customWidth="1"/>
    <col min="10208" max="10208" width="23.42578125" style="220" bestFit="1" customWidth="1"/>
    <col min="10209" max="10210" width="10.140625" style="220" bestFit="1" customWidth="1"/>
    <col min="10211" max="10213" width="10.140625" style="220" customWidth="1"/>
    <col min="10214" max="10214" width="16.28515625" style="220" customWidth="1"/>
    <col min="10215" max="10215" width="20.28515625" style="220" bestFit="1" customWidth="1"/>
    <col min="10216" max="10218" width="20.28515625" style="220" customWidth="1"/>
    <col min="10219" max="10219" width="20.28515625" style="220" bestFit="1" customWidth="1"/>
    <col min="10220" max="10220" width="15.42578125" style="220" customWidth="1"/>
    <col min="10221" max="10221" width="20.28515625" style="220" bestFit="1" customWidth="1"/>
    <col min="10222" max="10224" width="20.28515625" style="220" customWidth="1"/>
    <col min="10225" max="10225" width="20.28515625" style="220" bestFit="1" customWidth="1"/>
    <col min="10226" max="10226" width="15.42578125" style="220" customWidth="1"/>
    <col min="10227" max="10227" width="20.7109375" style="220" bestFit="1" customWidth="1"/>
    <col min="10228" max="10230" width="20.7109375" style="220" customWidth="1"/>
    <col min="10231" max="10231" width="20.7109375" style="220" bestFit="1" customWidth="1"/>
    <col min="10232" max="10232" width="12.140625" style="220" customWidth="1"/>
    <col min="10233" max="10461" width="8.7109375" style="220" customWidth="1"/>
    <col min="10462" max="10462" width="7.28515625" style="220" customWidth="1"/>
    <col min="10463" max="10463" width="18.28515625" style="220" customWidth="1"/>
    <col min="10464" max="10464" width="23.42578125" style="220" bestFit="1" customWidth="1"/>
    <col min="10465" max="10466" width="10.140625" style="220" bestFit="1" customWidth="1"/>
    <col min="10467" max="10469" width="10.140625" style="220" customWidth="1"/>
    <col min="10470" max="10470" width="16.28515625" style="220" customWidth="1"/>
    <col min="10471" max="10471" width="20.28515625" style="220" bestFit="1" customWidth="1"/>
    <col min="10472" max="10474" width="20.28515625" style="220" customWidth="1"/>
    <col min="10475" max="10475" width="20.28515625" style="220" bestFit="1" customWidth="1"/>
    <col min="10476" max="10476" width="15.42578125" style="220" customWidth="1"/>
    <col min="10477" max="10477" width="20.28515625" style="220" bestFit="1" customWidth="1"/>
    <col min="10478" max="10480" width="20.28515625" style="220" customWidth="1"/>
    <col min="10481" max="10481" width="20.28515625" style="220" bestFit="1" customWidth="1"/>
    <col min="10482" max="10482" width="15.42578125" style="220" customWidth="1"/>
    <col min="10483" max="10483" width="20.7109375" style="220" bestFit="1" customWidth="1"/>
    <col min="10484" max="10486" width="20.7109375" style="220" customWidth="1"/>
    <col min="10487" max="10487" width="20.7109375" style="220" bestFit="1" customWidth="1"/>
    <col min="10488" max="10488" width="12.140625" style="220" customWidth="1"/>
    <col min="10489" max="10717" width="8.7109375" style="220" customWidth="1"/>
    <col min="10718" max="10718" width="7.28515625" style="220" customWidth="1"/>
    <col min="10719" max="10719" width="18.28515625" style="220" customWidth="1"/>
    <col min="10720" max="10720" width="23.42578125" style="220" bestFit="1" customWidth="1"/>
    <col min="10721" max="10722" width="10.140625" style="220" bestFit="1" customWidth="1"/>
    <col min="10723" max="10725" width="10.140625" style="220" customWidth="1"/>
    <col min="10726" max="10726" width="16.28515625" style="220" customWidth="1"/>
    <col min="10727" max="10727" width="20.28515625" style="220" bestFit="1" customWidth="1"/>
    <col min="10728" max="10730" width="20.28515625" style="220" customWidth="1"/>
    <col min="10731" max="10731" width="20.28515625" style="220" bestFit="1" customWidth="1"/>
    <col min="10732" max="10732" width="15.42578125" style="220" customWidth="1"/>
    <col min="10733" max="10733" width="20.28515625" style="220" bestFit="1" customWidth="1"/>
    <col min="10734" max="10736" width="20.28515625" style="220" customWidth="1"/>
    <col min="10737" max="10737" width="20.28515625" style="220" bestFit="1" customWidth="1"/>
    <col min="10738" max="10738" width="15.42578125" style="220" customWidth="1"/>
    <col min="10739" max="10739" width="20.7109375" style="220" bestFit="1" customWidth="1"/>
    <col min="10740" max="10742" width="20.7109375" style="220" customWidth="1"/>
    <col min="10743" max="10743" width="20.7109375" style="220" bestFit="1" customWidth="1"/>
    <col min="10744" max="10744" width="12.140625" style="220" customWidth="1"/>
    <col min="10745" max="10973" width="8.7109375" style="220" customWidth="1"/>
    <col min="10974" max="10974" width="7.28515625" style="220" customWidth="1"/>
    <col min="10975" max="10975" width="18.28515625" style="220" customWidth="1"/>
    <col min="10976" max="10976" width="23.42578125" style="220" bestFit="1" customWidth="1"/>
    <col min="10977" max="10978" width="10.140625" style="220" bestFit="1" customWidth="1"/>
    <col min="10979" max="10981" width="10.140625" style="220" customWidth="1"/>
    <col min="10982" max="10982" width="16.28515625" style="220" customWidth="1"/>
    <col min="10983" max="10983" width="20.28515625" style="220" bestFit="1" customWidth="1"/>
    <col min="10984" max="10986" width="20.28515625" style="220" customWidth="1"/>
    <col min="10987" max="10987" width="20.28515625" style="220" bestFit="1" customWidth="1"/>
    <col min="10988" max="10988" width="15.42578125" style="220" customWidth="1"/>
    <col min="10989" max="10989" width="20.28515625" style="220" bestFit="1" customWidth="1"/>
    <col min="10990" max="10992" width="20.28515625" style="220" customWidth="1"/>
    <col min="10993" max="10993" width="20.28515625" style="220" bestFit="1" customWidth="1"/>
    <col min="10994" max="10994" width="15.42578125" style="220" customWidth="1"/>
    <col min="10995" max="10995" width="20.7109375" style="220" bestFit="1" customWidth="1"/>
    <col min="10996" max="10998" width="20.7109375" style="220" customWidth="1"/>
    <col min="10999" max="10999" width="20.7109375" style="220" bestFit="1" customWidth="1"/>
    <col min="11000" max="11000" width="12.140625" style="220" customWidth="1"/>
    <col min="11001" max="11229" width="8.7109375" style="220" customWidth="1"/>
    <col min="11230" max="11230" width="7.28515625" style="220" customWidth="1"/>
    <col min="11231" max="11231" width="18.28515625" style="220" customWidth="1"/>
    <col min="11232" max="11232" width="23.42578125" style="220" bestFit="1" customWidth="1"/>
    <col min="11233" max="11234" width="10.140625" style="220" bestFit="1" customWidth="1"/>
    <col min="11235" max="11237" width="10.140625" style="220" customWidth="1"/>
    <col min="11238" max="11238" width="16.28515625" style="220" customWidth="1"/>
    <col min="11239" max="11239" width="20.28515625" style="220" bestFit="1" customWidth="1"/>
    <col min="11240" max="11242" width="20.28515625" style="220" customWidth="1"/>
    <col min="11243" max="11243" width="20.28515625" style="220" bestFit="1" customWidth="1"/>
    <col min="11244" max="11244" width="15.42578125" style="220" customWidth="1"/>
    <col min="11245" max="11245" width="20.28515625" style="220" bestFit="1" customWidth="1"/>
    <col min="11246" max="11248" width="20.28515625" style="220" customWidth="1"/>
    <col min="11249" max="11249" width="20.28515625" style="220" bestFit="1" customWidth="1"/>
    <col min="11250" max="11250" width="15.42578125" style="220" customWidth="1"/>
    <col min="11251" max="11251" width="20.7109375" style="220" bestFit="1" customWidth="1"/>
    <col min="11252" max="11254" width="20.7109375" style="220" customWidth="1"/>
    <col min="11255" max="11255" width="20.7109375" style="220" bestFit="1" customWidth="1"/>
    <col min="11256" max="11256" width="12.140625" style="220" customWidth="1"/>
    <col min="11257" max="11485" width="8.7109375" style="220" customWidth="1"/>
    <col min="11486" max="11486" width="7.28515625" style="220" customWidth="1"/>
    <col min="11487" max="11487" width="18.28515625" style="220" customWidth="1"/>
    <col min="11488" max="11488" width="23.42578125" style="220" bestFit="1" customWidth="1"/>
    <col min="11489" max="11490" width="10.140625" style="220" bestFit="1" customWidth="1"/>
    <col min="11491" max="11493" width="10.140625" style="220" customWidth="1"/>
    <col min="11494" max="11494" width="16.28515625" style="220" customWidth="1"/>
    <col min="11495" max="11495" width="20.28515625" style="220" bestFit="1" customWidth="1"/>
    <col min="11496" max="11498" width="20.28515625" style="220" customWidth="1"/>
    <col min="11499" max="11499" width="20.28515625" style="220" bestFit="1" customWidth="1"/>
    <col min="11500" max="11500" width="15.42578125" style="220" customWidth="1"/>
    <col min="11501" max="11501" width="20.28515625" style="220" bestFit="1" customWidth="1"/>
    <col min="11502" max="11504" width="20.28515625" style="220" customWidth="1"/>
    <col min="11505" max="11505" width="20.28515625" style="220" bestFit="1" customWidth="1"/>
    <col min="11506" max="11506" width="15.42578125" style="220" customWidth="1"/>
    <col min="11507" max="11507" width="20.7109375" style="220" bestFit="1" customWidth="1"/>
    <col min="11508" max="11510" width="20.7109375" style="220" customWidth="1"/>
    <col min="11511" max="11511" width="20.7109375" style="220" bestFit="1" customWidth="1"/>
    <col min="11512" max="11512" width="12.140625" style="220" customWidth="1"/>
    <col min="11513" max="11741" width="8.7109375" style="220" customWidth="1"/>
    <col min="11742" max="11742" width="7.28515625" style="220" customWidth="1"/>
    <col min="11743" max="11743" width="18.28515625" style="220" customWidth="1"/>
    <col min="11744" max="11744" width="23.42578125" style="220" bestFit="1" customWidth="1"/>
    <col min="11745" max="11746" width="10.140625" style="220" bestFit="1" customWidth="1"/>
    <col min="11747" max="11749" width="10.140625" style="220" customWidth="1"/>
    <col min="11750" max="11750" width="16.28515625" style="220" customWidth="1"/>
    <col min="11751" max="11751" width="20.28515625" style="220" bestFit="1" customWidth="1"/>
    <col min="11752" max="11754" width="20.28515625" style="220" customWidth="1"/>
    <col min="11755" max="11755" width="20.28515625" style="220" bestFit="1" customWidth="1"/>
    <col min="11756" max="11756" width="15.42578125" style="220" customWidth="1"/>
    <col min="11757" max="11757" width="20.28515625" style="220" bestFit="1" customWidth="1"/>
    <col min="11758" max="11760" width="20.28515625" style="220" customWidth="1"/>
    <col min="11761" max="11761" width="20.28515625" style="220" bestFit="1" customWidth="1"/>
    <col min="11762" max="11762" width="15.42578125" style="220" customWidth="1"/>
    <col min="11763" max="11763" width="20.7109375" style="220" bestFit="1" customWidth="1"/>
    <col min="11764" max="11766" width="20.7109375" style="220" customWidth="1"/>
    <col min="11767" max="11767" width="20.7109375" style="220" bestFit="1" customWidth="1"/>
    <col min="11768" max="11768" width="12.140625" style="220" customWidth="1"/>
    <col min="11769" max="11997" width="8.7109375" style="220" customWidth="1"/>
    <col min="11998" max="11998" width="7.28515625" style="220" customWidth="1"/>
    <col min="11999" max="11999" width="18.28515625" style="220" customWidth="1"/>
    <col min="12000" max="12000" width="23.42578125" style="220" bestFit="1" customWidth="1"/>
    <col min="12001" max="12002" width="10.140625" style="220" bestFit="1" customWidth="1"/>
    <col min="12003" max="12005" width="10.140625" style="220" customWidth="1"/>
    <col min="12006" max="12006" width="16.28515625" style="220" customWidth="1"/>
    <col min="12007" max="12007" width="20.28515625" style="220" bestFit="1" customWidth="1"/>
    <col min="12008" max="12010" width="20.28515625" style="220" customWidth="1"/>
    <col min="12011" max="12011" width="20.28515625" style="220" bestFit="1" customWidth="1"/>
    <col min="12012" max="12012" width="15.42578125" style="220" customWidth="1"/>
    <col min="12013" max="12013" width="20.28515625" style="220" bestFit="1" customWidth="1"/>
    <col min="12014" max="12016" width="20.28515625" style="220" customWidth="1"/>
    <col min="12017" max="12017" width="20.28515625" style="220" bestFit="1" customWidth="1"/>
    <col min="12018" max="12018" width="15.42578125" style="220" customWidth="1"/>
    <col min="12019" max="12019" width="20.7109375" style="220" bestFit="1" customWidth="1"/>
    <col min="12020" max="12022" width="20.7109375" style="220" customWidth="1"/>
    <col min="12023" max="12023" width="20.7109375" style="220" bestFit="1" customWidth="1"/>
    <col min="12024" max="12024" width="12.140625" style="220" customWidth="1"/>
    <col min="12025" max="12253" width="8.7109375" style="220" customWidth="1"/>
    <col min="12254" max="12254" width="7.28515625" style="220" customWidth="1"/>
    <col min="12255" max="12255" width="18.28515625" style="220" customWidth="1"/>
    <col min="12256" max="12256" width="23.42578125" style="220" bestFit="1" customWidth="1"/>
    <col min="12257" max="12258" width="10.140625" style="220" bestFit="1" customWidth="1"/>
    <col min="12259" max="12261" width="10.140625" style="220" customWidth="1"/>
    <col min="12262" max="12262" width="16.28515625" style="220" customWidth="1"/>
    <col min="12263" max="12263" width="20.28515625" style="220" bestFit="1" customWidth="1"/>
    <col min="12264" max="12266" width="20.28515625" style="220" customWidth="1"/>
    <col min="12267" max="12267" width="20.28515625" style="220" bestFit="1" customWidth="1"/>
    <col min="12268" max="12268" width="15.42578125" style="220" customWidth="1"/>
    <col min="12269" max="12269" width="20.28515625" style="220" bestFit="1" customWidth="1"/>
    <col min="12270" max="12272" width="20.28515625" style="220" customWidth="1"/>
    <col min="12273" max="12273" width="20.28515625" style="220" bestFit="1" customWidth="1"/>
    <col min="12274" max="12274" width="15.42578125" style="220" customWidth="1"/>
    <col min="12275" max="12275" width="20.7109375" style="220" bestFit="1" customWidth="1"/>
    <col min="12276" max="12278" width="20.7109375" style="220" customWidth="1"/>
    <col min="12279" max="12279" width="20.7109375" style="220" bestFit="1" customWidth="1"/>
    <col min="12280" max="12280" width="12.140625" style="220" customWidth="1"/>
    <col min="12281" max="12509" width="8.7109375" style="220" customWidth="1"/>
    <col min="12510" max="12510" width="7.28515625" style="220" customWidth="1"/>
    <col min="12511" max="12511" width="18.28515625" style="220" customWidth="1"/>
    <col min="12512" max="12512" width="23.42578125" style="220" bestFit="1" customWidth="1"/>
    <col min="12513" max="12514" width="10.140625" style="220" bestFit="1" customWidth="1"/>
    <col min="12515" max="12517" width="10.140625" style="220" customWidth="1"/>
    <col min="12518" max="12518" width="16.28515625" style="220" customWidth="1"/>
    <col min="12519" max="12519" width="20.28515625" style="220" bestFit="1" customWidth="1"/>
    <col min="12520" max="12522" width="20.28515625" style="220" customWidth="1"/>
    <col min="12523" max="12523" width="20.28515625" style="220" bestFit="1" customWidth="1"/>
    <col min="12524" max="12524" width="15.42578125" style="220" customWidth="1"/>
    <col min="12525" max="12525" width="20.28515625" style="220" bestFit="1" customWidth="1"/>
    <col min="12526" max="12528" width="20.28515625" style="220" customWidth="1"/>
    <col min="12529" max="12529" width="20.28515625" style="220" bestFit="1" customWidth="1"/>
    <col min="12530" max="12530" width="15.42578125" style="220" customWidth="1"/>
    <col min="12531" max="12531" width="20.7109375" style="220" bestFit="1" customWidth="1"/>
    <col min="12532" max="12534" width="20.7109375" style="220" customWidth="1"/>
    <col min="12535" max="12535" width="20.7109375" style="220" bestFit="1" customWidth="1"/>
    <col min="12536" max="12536" width="12.140625" style="220" customWidth="1"/>
    <col min="12537" max="12765" width="8.7109375" style="220" customWidth="1"/>
    <col min="12766" max="12766" width="7.28515625" style="220" customWidth="1"/>
    <col min="12767" max="12767" width="18.28515625" style="220" customWidth="1"/>
    <col min="12768" max="12768" width="23.42578125" style="220" bestFit="1" customWidth="1"/>
    <col min="12769" max="12770" width="10.140625" style="220" bestFit="1" customWidth="1"/>
    <col min="12771" max="12773" width="10.140625" style="220" customWidth="1"/>
    <col min="12774" max="12774" width="16.28515625" style="220" customWidth="1"/>
    <col min="12775" max="12775" width="20.28515625" style="220" bestFit="1" customWidth="1"/>
    <col min="12776" max="12778" width="20.28515625" style="220" customWidth="1"/>
    <col min="12779" max="12779" width="20.28515625" style="220" bestFit="1" customWidth="1"/>
    <col min="12780" max="12780" width="15.42578125" style="220" customWidth="1"/>
    <col min="12781" max="12781" width="20.28515625" style="220" bestFit="1" customWidth="1"/>
    <col min="12782" max="12784" width="20.28515625" style="220" customWidth="1"/>
    <col min="12785" max="12785" width="20.28515625" style="220" bestFit="1" customWidth="1"/>
    <col min="12786" max="12786" width="15.42578125" style="220" customWidth="1"/>
    <col min="12787" max="12787" width="20.7109375" style="220" bestFit="1" customWidth="1"/>
    <col min="12788" max="12790" width="20.7109375" style="220" customWidth="1"/>
    <col min="12791" max="12791" width="20.7109375" style="220" bestFit="1" customWidth="1"/>
    <col min="12792" max="12792" width="12.140625" style="220" customWidth="1"/>
    <col min="12793" max="13021" width="8.7109375" style="220" customWidth="1"/>
    <col min="13022" max="13022" width="7.28515625" style="220" customWidth="1"/>
    <col min="13023" max="13023" width="18.28515625" style="220" customWidth="1"/>
    <col min="13024" max="13024" width="23.42578125" style="220" bestFit="1" customWidth="1"/>
    <col min="13025" max="13026" width="10.140625" style="220" bestFit="1" customWidth="1"/>
    <col min="13027" max="13029" width="10.140625" style="220" customWidth="1"/>
    <col min="13030" max="13030" width="16.28515625" style="220" customWidth="1"/>
    <col min="13031" max="13031" width="20.28515625" style="220" bestFit="1" customWidth="1"/>
    <col min="13032" max="13034" width="20.28515625" style="220" customWidth="1"/>
    <col min="13035" max="13035" width="20.28515625" style="220" bestFit="1" customWidth="1"/>
    <col min="13036" max="13036" width="15.42578125" style="220" customWidth="1"/>
    <col min="13037" max="13037" width="20.28515625" style="220" bestFit="1" customWidth="1"/>
    <col min="13038" max="13040" width="20.28515625" style="220" customWidth="1"/>
    <col min="13041" max="13041" width="20.28515625" style="220" bestFit="1" customWidth="1"/>
    <col min="13042" max="13042" width="15.42578125" style="220" customWidth="1"/>
    <col min="13043" max="13043" width="20.7109375" style="220" bestFit="1" customWidth="1"/>
    <col min="13044" max="13046" width="20.7109375" style="220" customWidth="1"/>
    <col min="13047" max="13047" width="20.7109375" style="220" bestFit="1" customWidth="1"/>
    <col min="13048" max="13048" width="12.140625" style="220" customWidth="1"/>
    <col min="13049" max="13277" width="8.7109375" style="220" customWidth="1"/>
    <col min="13278" max="13278" width="7.28515625" style="220" customWidth="1"/>
    <col min="13279" max="13279" width="18.28515625" style="220" customWidth="1"/>
    <col min="13280" max="13280" width="23.42578125" style="220" bestFit="1" customWidth="1"/>
    <col min="13281" max="13282" width="10.140625" style="220" bestFit="1" customWidth="1"/>
    <col min="13283" max="13285" width="10.140625" style="220" customWidth="1"/>
    <col min="13286" max="13286" width="16.28515625" style="220" customWidth="1"/>
    <col min="13287" max="13287" width="20.28515625" style="220" bestFit="1" customWidth="1"/>
    <col min="13288" max="13290" width="20.28515625" style="220" customWidth="1"/>
    <col min="13291" max="13291" width="20.28515625" style="220" bestFit="1" customWidth="1"/>
    <col min="13292" max="13292" width="15.42578125" style="220" customWidth="1"/>
    <col min="13293" max="13293" width="20.28515625" style="220" bestFit="1" customWidth="1"/>
    <col min="13294" max="13296" width="20.28515625" style="220" customWidth="1"/>
    <col min="13297" max="13297" width="20.28515625" style="220" bestFit="1" customWidth="1"/>
    <col min="13298" max="13298" width="15.42578125" style="220" customWidth="1"/>
    <col min="13299" max="13299" width="20.7109375" style="220" bestFit="1" customWidth="1"/>
    <col min="13300" max="13302" width="20.7109375" style="220" customWidth="1"/>
    <col min="13303" max="13303" width="20.7109375" style="220" bestFit="1" customWidth="1"/>
    <col min="13304" max="13304" width="12.140625" style="220" customWidth="1"/>
    <col min="13305" max="13533" width="8.7109375" style="220" customWidth="1"/>
    <col min="13534" max="13534" width="7.28515625" style="220" customWidth="1"/>
    <col min="13535" max="13535" width="18.28515625" style="220" customWidth="1"/>
    <col min="13536" max="13536" width="23.42578125" style="220" bestFit="1" customWidth="1"/>
    <col min="13537" max="13538" width="10.140625" style="220" bestFit="1" customWidth="1"/>
    <col min="13539" max="13541" width="10.140625" style="220" customWidth="1"/>
    <col min="13542" max="13542" width="16.28515625" style="220" customWidth="1"/>
    <col min="13543" max="13543" width="20.28515625" style="220" bestFit="1" customWidth="1"/>
    <col min="13544" max="13546" width="20.28515625" style="220" customWidth="1"/>
    <col min="13547" max="13547" width="20.28515625" style="220" bestFit="1" customWidth="1"/>
    <col min="13548" max="13548" width="15.42578125" style="220" customWidth="1"/>
    <col min="13549" max="13549" width="20.28515625" style="220" bestFit="1" customWidth="1"/>
    <col min="13550" max="13552" width="20.28515625" style="220" customWidth="1"/>
    <col min="13553" max="13553" width="20.28515625" style="220" bestFit="1" customWidth="1"/>
    <col min="13554" max="13554" width="15.42578125" style="220" customWidth="1"/>
    <col min="13555" max="13555" width="20.7109375" style="220" bestFit="1" customWidth="1"/>
    <col min="13556" max="13558" width="20.7109375" style="220" customWidth="1"/>
    <col min="13559" max="13559" width="20.7109375" style="220" bestFit="1" customWidth="1"/>
    <col min="13560" max="13560" width="12.140625" style="220" customWidth="1"/>
    <col min="13561" max="13789" width="8.7109375" style="220" customWidth="1"/>
    <col min="13790" max="13790" width="7.28515625" style="220" customWidth="1"/>
    <col min="13791" max="13791" width="18.28515625" style="220" customWidth="1"/>
    <col min="13792" max="13792" width="23.42578125" style="220" bestFit="1" customWidth="1"/>
    <col min="13793" max="13794" width="10.140625" style="220" bestFit="1" customWidth="1"/>
    <col min="13795" max="13797" width="10.140625" style="220" customWidth="1"/>
    <col min="13798" max="13798" width="16.28515625" style="220" customWidth="1"/>
    <col min="13799" max="13799" width="20.28515625" style="220" bestFit="1" customWidth="1"/>
    <col min="13800" max="13802" width="20.28515625" style="220" customWidth="1"/>
    <col min="13803" max="13803" width="20.28515625" style="220" bestFit="1" customWidth="1"/>
    <col min="13804" max="13804" width="15.42578125" style="220" customWidth="1"/>
    <col min="13805" max="13805" width="20.28515625" style="220" bestFit="1" customWidth="1"/>
    <col min="13806" max="13808" width="20.28515625" style="220" customWidth="1"/>
    <col min="13809" max="13809" width="20.28515625" style="220" bestFit="1" customWidth="1"/>
    <col min="13810" max="13810" width="15.42578125" style="220" customWidth="1"/>
    <col min="13811" max="13811" width="20.7109375" style="220" bestFit="1" customWidth="1"/>
    <col min="13812" max="13814" width="20.7109375" style="220" customWidth="1"/>
    <col min="13815" max="13815" width="20.7109375" style="220" bestFit="1" customWidth="1"/>
    <col min="13816" max="13816" width="12.140625" style="220" customWidth="1"/>
    <col min="13817" max="14045" width="8.7109375" style="220" customWidth="1"/>
    <col min="14046" max="14046" width="7.28515625" style="220" customWidth="1"/>
    <col min="14047" max="14047" width="18.28515625" style="220" customWidth="1"/>
    <col min="14048" max="14048" width="23.42578125" style="220" bestFit="1" customWidth="1"/>
    <col min="14049" max="14050" width="10.140625" style="220" bestFit="1" customWidth="1"/>
    <col min="14051" max="14053" width="10.140625" style="220" customWidth="1"/>
    <col min="14054" max="14054" width="16.28515625" style="220" customWidth="1"/>
    <col min="14055" max="14055" width="20.28515625" style="220" bestFit="1" customWidth="1"/>
    <col min="14056" max="14058" width="20.28515625" style="220" customWidth="1"/>
    <col min="14059" max="14059" width="20.28515625" style="220" bestFit="1" customWidth="1"/>
    <col min="14060" max="14060" width="15.42578125" style="220" customWidth="1"/>
    <col min="14061" max="14061" width="20.28515625" style="220" bestFit="1" customWidth="1"/>
    <col min="14062" max="14064" width="20.28515625" style="220" customWidth="1"/>
    <col min="14065" max="14065" width="20.28515625" style="220" bestFit="1" customWidth="1"/>
    <col min="14066" max="14066" width="15.42578125" style="220" customWidth="1"/>
    <col min="14067" max="14067" width="20.7109375" style="220" bestFit="1" customWidth="1"/>
    <col min="14068" max="14070" width="20.7109375" style="220" customWidth="1"/>
    <col min="14071" max="14071" width="20.7109375" style="220" bestFit="1" customWidth="1"/>
    <col min="14072" max="14072" width="12.140625" style="220" customWidth="1"/>
    <col min="14073" max="14301" width="8.7109375" style="220" customWidth="1"/>
    <col min="14302" max="14302" width="7.28515625" style="220" customWidth="1"/>
    <col min="14303" max="14303" width="18.28515625" style="220" customWidth="1"/>
    <col min="14304" max="14304" width="23.42578125" style="220" bestFit="1" customWidth="1"/>
    <col min="14305" max="14306" width="10.140625" style="220" bestFit="1" customWidth="1"/>
    <col min="14307" max="14309" width="10.140625" style="220" customWidth="1"/>
    <col min="14310" max="14310" width="16.28515625" style="220" customWidth="1"/>
    <col min="14311" max="14311" width="20.28515625" style="220" bestFit="1" customWidth="1"/>
    <col min="14312" max="14314" width="20.28515625" style="220" customWidth="1"/>
    <col min="14315" max="14315" width="20.28515625" style="220" bestFit="1" customWidth="1"/>
    <col min="14316" max="14316" width="15.42578125" style="220" customWidth="1"/>
    <col min="14317" max="14317" width="20.28515625" style="220" bestFit="1" customWidth="1"/>
    <col min="14318" max="14320" width="20.28515625" style="220" customWidth="1"/>
    <col min="14321" max="14321" width="20.28515625" style="220" bestFit="1" customWidth="1"/>
    <col min="14322" max="14322" width="15.42578125" style="220" customWidth="1"/>
    <col min="14323" max="14323" width="20.7109375" style="220" bestFit="1" customWidth="1"/>
    <col min="14324" max="14326" width="20.7109375" style="220" customWidth="1"/>
    <col min="14327" max="14327" width="20.7109375" style="220" bestFit="1" customWidth="1"/>
    <col min="14328" max="14328" width="12.140625" style="220" customWidth="1"/>
    <col min="14329" max="14557" width="8.7109375" style="220" customWidth="1"/>
    <col min="14558" max="14558" width="7.28515625" style="220" customWidth="1"/>
    <col min="14559" max="14559" width="18.28515625" style="220" customWidth="1"/>
    <col min="14560" max="14560" width="23.42578125" style="220" bestFit="1" customWidth="1"/>
    <col min="14561" max="14562" width="10.140625" style="220" bestFit="1" customWidth="1"/>
    <col min="14563" max="14565" width="10.140625" style="220" customWidth="1"/>
    <col min="14566" max="14566" width="16.28515625" style="220" customWidth="1"/>
    <col min="14567" max="14567" width="20.28515625" style="220" bestFit="1" customWidth="1"/>
    <col min="14568" max="14570" width="20.28515625" style="220" customWidth="1"/>
    <col min="14571" max="14571" width="20.28515625" style="220" bestFit="1" customWidth="1"/>
    <col min="14572" max="14572" width="15.42578125" style="220" customWidth="1"/>
    <col min="14573" max="14573" width="20.28515625" style="220" bestFit="1" customWidth="1"/>
    <col min="14574" max="14576" width="20.28515625" style="220" customWidth="1"/>
    <col min="14577" max="14577" width="20.28515625" style="220" bestFit="1" customWidth="1"/>
    <col min="14578" max="14578" width="15.42578125" style="220" customWidth="1"/>
    <col min="14579" max="14579" width="20.7109375" style="220" bestFit="1" customWidth="1"/>
    <col min="14580" max="14582" width="20.7109375" style="220" customWidth="1"/>
    <col min="14583" max="14583" width="20.7109375" style="220" bestFit="1" customWidth="1"/>
    <col min="14584" max="14584" width="12.140625" style="220" customWidth="1"/>
    <col min="14585" max="14813" width="8.7109375" style="220" customWidth="1"/>
    <col min="14814" max="14814" width="7.28515625" style="220" customWidth="1"/>
    <col min="14815" max="14815" width="18.28515625" style="220" customWidth="1"/>
    <col min="14816" max="14816" width="23.42578125" style="220" bestFit="1" customWidth="1"/>
    <col min="14817" max="14818" width="10.140625" style="220" bestFit="1" customWidth="1"/>
    <col min="14819" max="14821" width="10.140625" style="220" customWidth="1"/>
    <col min="14822" max="14822" width="16.28515625" style="220" customWidth="1"/>
    <col min="14823" max="14823" width="20.28515625" style="220" bestFit="1" customWidth="1"/>
    <col min="14824" max="14826" width="20.28515625" style="220" customWidth="1"/>
    <col min="14827" max="14827" width="20.28515625" style="220" bestFit="1" customWidth="1"/>
    <col min="14828" max="14828" width="15.42578125" style="220" customWidth="1"/>
    <col min="14829" max="14829" width="20.28515625" style="220" bestFit="1" customWidth="1"/>
    <col min="14830" max="14832" width="20.28515625" style="220" customWidth="1"/>
    <col min="14833" max="14833" width="20.28515625" style="220" bestFit="1" customWidth="1"/>
    <col min="14834" max="14834" width="15.42578125" style="220" customWidth="1"/>
    <col min="14835" max="14835" width="20.7109375" style="220" bestFit="1" customWidth="1"/>
    <col min="14836" max="14838" width="20.7109375" style="220" customWidth="1"/>
    <col min="14839" max="14839" width="20.7109375" style="220" bestFit="1" customWidth="1"/>
    <col min="14840" max="14840" width="12.140625" style="220" customWidth="1"/>
    <col min="14841" max="15069" width="8.7109375" style="220" customWidth="1"/>
    <col min="15070" max="15070" width="7.28515625" style="220" customWidth="1"/>
    <col min="15071" max="15071" width="18.28515625" style="220" customWidth="1"/>
    <col min="15072" max="15072" width="23.42578125" style="220" bestFit="1" customWidth="1"/>
    <col min="15073" max="15074" width="10.140625" style="220" bestFit="1" customWidth="1"/>
    <col min="15075" max="15077" width="10.140625" style="220" customWidth="1"/>
    <col min="15078" max="15078" width="16.28515625" style="220" customWidth="1"/>
    <col min="15079" max="15079" width="20.28515625" style="220" bestFit="1" customWidth="1"/>
    <col min="15080" max="15082" width="20.28515625" style="220" customWidth="1"/>
    <col min="15083" max="15083" width="20.28515625" style="220" bestFit="1" customWidth="1"/>
    <col min="15084" max="15084" width="15.42578125" style="220" customWidth="1"/>
    <col min="15085" max="15085" width="20.28515625" style="220" bestFit="1" customWidth="1"/>
    <col min="15086" max="15088" width="20.28515625" style="220" customWidth="1"/>
    <col min="15089" max="15089" width="20.28515625" style="220" bestFit="1" customWidth="1"/>
    <col min="15090" max="15090" width="15.42578125" style="220" customWidth="1"/>
    <col min="15091" max="15091" width="20.7109375" style="220" bestFit="1" customWidth="1"/>
    <col min="15092" max="15094" width="20.7109375" style="220" customWidth="1"/>
    <col min="15095" max="15095" width="20.7109375" style="220" bestFit="1" customWidth="1"/>
    <col min="15096" max="15096" width="12.140625" style="220" customWidth="1"/>
    <col min="15097" max="15325" width="8.7109375" style="220" customWidth="1"/>
    <col min="15326" max="15326" width="7.28515625" style="220" customWidth="1"/>
    <col min="15327" max="15327" width="18.28515625" style="220" customWidth="1"/>
    <col min="15328" max="15328" width="23.42578125" style="220" bestFit="1" customWidth="1"/>
    <col min="15329" max="15330" width="10.140625" style="220" bestFit="1" customWidth="1"/>
    <col min="15331" max="15333" width="10.140625" style="220" customWidth="1"/>
    <col min="15334" max="15334" width="16.28515625" style="220" customWidth="1"/>
    <col min="15335" max="15335" width="20.28515625" style="220" bestFit="1" customWidth="1"/>
    <col min="15336" max="15338" width="20.28515625" style="220" customWidth="1"/>
    <col min="15339" max="15339" width="20.28515625" style="220" bestFit="1" customWidth="1"/>
    <col min="15340" max="15340" width="15.42578125" style="220" customWidth="1"/>
    <col min="15341" max="15341" width="20.28515625" style="220" bestFit="1" customWidth="1"/>
    <col min="15342" max="15344" width="20.28515625" style="220" customWidth="1"/>
    <col min="15345" max="15345" width="20.28515625" style="220" bestFit="1" customWidth="1"/>
    <col min="15346" max="15346" width="15.42578125" style="220" customWidth="1"/>
    <col min="15347" max="15347" width="20.7109375" style="220" bestFit="1" customWidth="1"/>
    <col min="15348" max="15350" width="20.7109375" style="220" customWidth="1"/>
    <col min="15351" max="15351" width="20.7109375" style="220" bestFit="1" customWidth="1"/>
    <col min="15352" max="15352" width="12.140625" style="220" customWidth="1"/>
    <col min="15353" max="15581" width="8.7109375" style="220" customWidth="1"/>
    <col min="15582" max="15582" width="7.28515625" style="220" customWidth="1"/>
    <col min="15583" max="15583" width="18.28515625" style="220" customWidth="1"/>
    <col min="15584" max="15584" width="23.42578125" style="220" bestFit="1" customWidth="1"/>
    <col min="15585" max="15586" width="10.140625" style="220" bestFit="1" customWidth="1"/>
    <col min="15587" max="15589" width="10.140625" style="220" customWidth="1"/>
    <col min="15590" max="15590" width="16.28515625" style="220" customWidth="1"/>
    <col min="15591" max="15591" width="20.28515625" style="220" bestFit="1" customWidth="1"/>
    <col min="15592" max="15594" width="20.28515625" style="220" customWidth="1"/>
    <col min="15595" max="15595" width="20.28515625" style="220" bestFit="1" customWidth="1"/>
    <col min="15596" max="15596" width="15.42578125" style="220" customWidth="1"/>
    <col min="15597" max="15597" width="20.28515625" style="220" bestFit="1" customWidth="1"/>
    <col min="15598" max="15600" width="20.28515625" style="220" customWidth="1"/>
    <col min="15601" max="15601" width="20.28515625" style="220" bestFit="1" customWidth="1"/>
    <col min="15602" max="15602" width="15.42578125" style="220" customWidth="1"/>
    <col min="15603" max="15603" width="20.7109375" style="220" bestFit="1" customWidth="1"/>
    <col min="15604" max="15606" width="20.7109375" style="220" customWidth="1"/>
    <col min="15607" max="15607" width="20.7109375" style="220" bestFit="1" customWidth="1"/>
    <col min="15608" max="15608" width="12.140625" style="220" customWidth="1"/>
    <col min="15609" max="15837" width="8.7109375" style="220" customWidth="1"/>
    <col min="15838" max="15838" width="7.28515625" style="220" customWidth="1"/>
    <col min="15839" max="15839" width="18.28515625" style="220" customWidth="1"/>
    <col min="15840" max="15840" width="23.42578125" style="220" bestFit="1" customWidth="1"/>
    <col min="15841" max="15842" width="10.140625" style="220" bestFit="1" customWidth="1"/>
    <col min="15843" max="15845" width="10.140625" style="220" customWidth="1"/>
    <col min="15846" max="15846" width="16.28515625" style="220" customWidth="1"/>
    <col min="15847" max="15847" width="20.28515625" style="220" bestFit="1" customWidth="1"/>
    <col min="15848" max="15850" width="20.28515625" style="220" customWidth="1"/>
    <col min="15851" max="15851" width="20.28515625" style="220" bestFit="1" customWidth="1"/>
    <col min="15852" max="15852" width="15.42578125" style="220" customWidth="1"/>
    <col min="15853" max="15853" width="20.28515625" style="220" bestFit="1" customWidth="1"/>
    <col min="15854" max="15856" width="20.28515625" style="220" customWidth="1"/>
    <col min="15857" max="15857" width="20.28515625" style="220" bestFit="1" customWidth="1"/>
    <col min="15858" max="15858" width="15.42578125" style="220" customWidth="1"/>
    <col min="15859" max="15859" width="20.7109375" style="220" bestFit="1" customWidth="1"/>
    <col min="15860" max="15862" width="20.7109375" style="220" customWidth="1"/>
    <col min="15863" max="15863" width="20.7109375" style="220" bestFit="1" customWidth="1"/>
    <col min="15864" max="15864" width="12.140625" style="220" customWidth="1"/>
    <col min="15865" max="16093" width="8.7109375" style="220" customWidth="1"/>
    <col min="16094" max="16094" width="7.28515625" style="220" customWidth="1"/>
    <col min="16095" max="16095" width="18.28515625" style="220" customWidth="1"/>
    <col min="16096" max="16096" width="23.42578125" style="220" bestFit="1" customWidth="1"/>
    <col min="16097" max="16098" width="10.140625" style="220" bestFit="1" customWidth="1"/>
    <col min="16099" max="16101" width="10.140625" style="220" customWidth="1"/>
    <col min="16102" max="16102" width="16.28515625" style="220" customWidth="1"/>
    <col min="16103" max="16103" width="20.28515625" style="220" bestFit="1" customWidth="1"/>
    <col min="16104" max="16106" width="20.28515625" style="220" customWidth="1"/>
    <col min="16107" max="16107" width="20.28515625" style="220" bestFit="1" customWidth="1"/>
    <col min="16108" max="16108" width="15.42578125" style="220" customWidth="1"/>
    <col min="16109" max="16109" width="20.28515625" style="220" bestFit="1" customWidth="1"/>
    <col min="16110" max="16112" width="20.28515625" style="220" customWidth="1"/>
    <col min="16113" max="16113" width="20.28515625" style="220" bestFit="1" customWidth="1"/>
    <col min="16114" max="16114" width="15.42578125" style="220" customWidth="1"/>
    <col min="16115" max="16115" width="20.7109375" style="220" bestFit="1" customWidth="1"/>
    <col min="16116" max="16118" width="20.7109375" style="220" customWidth="1"/>
    <col min="16119" max="16119" width="20.7109375" style="220" bestFit="1" customWidth="1"/>
    <col min="16120" max="16120" width="12.140625" style="220" customWidth="1"/>
    <col min="16121" max="16384" width="8.7109375" style="220" customWidth="1"/>
  </cols>
  <sheetData>
    <row r="1" spans="1:17" s="194" customFormat="1"/>
    <row r="2" spans="1:17" s="194" customFormat="1" ht="13.5" thickBot="1"/>
    <row r="3" spans="1:17" s="194" customFormat="1" ht="13.5" thickBot="1">
      <c r="A3" s="338" t="s">
        <v>115</v>
      </c>
      <c r="B3" s="340" t="s">
        <v>314</v>
      </c>
      <c r="C3" s="342" t="s">
        <v>178</v>
      </c>
      <c r="D3" s="388" t="s">
        <v>343</v>
      </c>
      <c r="E3" s="389"/>
      <c r="F3" s="390"/>
      <c r="G3" s="391" t="s">
        <v>344</v>
      </c>
      <c r="H3" s="385"/>
      <c r="I3" s="385"/>
      <c r="J3" s="385"/>
      <c r="K3" s="391" t="s">
        <v>345</v>
      </c>
      <c r="L3" s="385"/>
      <c r="M3" s="386"/>
      <c r="N3" s="333" t="s">
        <v>346</v>
      </c>
      <c r="O3" s="333"/>
      <c r="P3" s="333"/>
      <c r="Q3" s="334"/>
    </row>
    <row r="4" spans="1:17" s="194" customFormat="1" ht="46.5" customHeight="1" thickBot="1">
      <c r="A4" s="339"/>
      <c r="B4" s="341"/>
      <c r="C4" s="343"/>
      <c r="D4" s="392">
        <v>2019</v>
      </c>
      <c r="E4" s="393">
        <v>2020</v>
      </c>
      <c r="F4" s="195">
        <v>2021</v>
      </c>
      <c r="G4" s="387">
        <v>2022</v>
      </c>
      <c r="H4" s="196">
        <v>2023</v>
      </c>
      <c r="I4" s="196">
        <v>2024</v>
      </c>
      <c r="J4" s="195">
        <v>2025</v>
      </c>
      <c r="K4" s="394">
        <v>2019</v>
      </c>
      <c r="L4" s="394">
        <v>2020</v>
      </c>
      <c r="M4" s="394">
        <v>2021</v>
      </c>
      <c r="N4" s="197">
        <v>2022</v>
      </c>
      <c r="O4" s="197">
        <v>2023</v>
      </c>
      <c r="P4" s="197">
        <v>2024</v>
      </c>
      <c r="Q4" s="197">
        <v>2025</v>
      </c>
    </row>
    <row r="5" spans="1:17" s="194" customFormat="1">
      <c r="A5" s="198">
        <v>1</v>
      </c>
      <c r="B5" s="199" t="s">
        <v>251</v>
      </c>
      <c r="C5" s="200"/>
      <c r="D5" s="201"/>
      <c r="E5" s="202"/>
      <c r="F5" s="202"/>
      <c r="G5" s="202"/>
      <c r="H5" s="203"/>
      <c r="I5" s="204"/>
      <c r="J5" s="200"/>
      <c r="K5" s="205"/>
      <c r="L5" s="206"/>
      <c r="M5" s="206"/>
      <c r="N5" s="206"/>
      <c r="O5" s="206"/>
      <c r="P5" s="206"/>
      <c r="Q5" s="206"/>
    </row>
    <row r="6" spans="1:17" s="194" customFormat="1">
      <c r="A6" s="198">
        <v>2</v>
      </c>
      <c r="B6" s="199" t="s">
        <v>252</v>
      </c>
      <c r="C6" s="200"/>
      <c r="D6" s="201"/>
      <c r="E6" s="202"/>
      <c r="F6" s="202"/>
      <c r="G6" s="202"/>
      <c r="H6" s="203"/>
      <c r="I6" s="204"/>
      <c r="J6" s="200"/>
      <c r="K6" s="205"/>
      <c r="L6" s="206"/>
      <c r="M6" s="206"/>
      <c r="N6" s="206"/>
      <c r="O6" s="206"/>
      <c r="P6" s="206"/>
      <c r="Q6" s="206"/>
    </row>
    <row r="7" spans="1:17" s="194" customFormat="1">
      <c r="A7" s="198">
        <v>3</v>
      </c>
      <c r="B7" s="199" t="s">
        <v>253</v>
      </c>
      <c r="C7" s="200"/>
      <c r="D7" s="201"/>
      <c r="E7" s="202"/>
      <c r="F7" s="202"/>
      <c r="G7" s="202"/>
      <c r="H7" s="203"/>
      <c r="I7" s="204"/>
      <c r="J7" s="200"/>
      <c r="K7" s="205"/>
      <c r="L7" s="206"/>
      <c r="M7" s="206"/>
      <c r="N7" s="206"/>
      <c r="O7" s="206"/>
      <c r="P7" s="206"/>
      <c r="Q7" s="206"/>
    </row>
    <row r="8" spans="1:17" s="194" customFormat="1">
      <c r="A8" s="198">
        <v>4</v>
      </c>
      <c r="B8" s="199" t="s">
        <v>254</v>
      </c>
      <c r="C8" s="200"/>
      <c r="D8" s="201"/>
      <c r="E8" s="202"/>
      <c r="F8" s="202"/>
      <c r="G8" s="202"/>
      <c r="H8" s="203"/>
      <c r="I8" s="204"/>
      <c r="J8" s="200"/>
      <c r="K8" s="205"/>
      <c r="L8" s="206"/>
      <c r="M8" s="206"/>
      <c r="N8" s="206"/>
      <c r="O8" s="206"/>
      <c r="P8" s="206"/>
      <c r="Q8" s="206"/>
    </row>
    <row r="9" spans="1:17" s="194" customFormat="1">
      <c r="A9" s="207">
        <v>5</v>
      </c>
      <c r="B9" s="199" t="s">
        <v>255</v>
      </c>
      <c r="C9" s="200"/>
      <c r="D9" s="201"/>
      <c r="E9" s="202"/>
      <c r="F9" s="202"/>
      <c r="G9" s="202"/>
      <c r="H9" s="203"/>
      <c r="I9" s="204"/>
      <c r="J9" s="200"/>
      <c r="K9" s="205"/>
      <c r="L9" s="206"/>
      <c r="M9" s="206"/>
      <c r="N9" s="206"/>
      <c r="O9" s="206"/>
      <c r="P9" s="206"/>
      <c r="Q9" s="206"/>
    </row>
    <row r="10" spans="1:17" s="194" customFormat="1">
      <c r="A10" s="198">
        <v>6</v>
      </c>
      <c r="B10" s="199" t="s">
        <v>256</v>
      </c>
      <c r="C10" s="200"/>
      <c r="D10" s="201"/>
      <c r="E10" s="202"/>
      <c r="F10" s="202"/>
      <c r="G10" s="202"/>
      <c r="H10" s="203"/>
      <c r="I10" s="204"/>
      <c r="J10" s="200"/>
      <c r="K10" s="205"/>
      <c r="L10" s="206"/>
      <c r="M10" s="206"/>
      <c r="N10" s="206"/>
      <c r="O10" s="206"/>
      <c r="P10" s="206"/>
      <c r="Q10" s="206"/>
    </row>
    <row r="11" spans="1:17" s="194" customFormat="1">
      <c r="A11" s="207">
        <v>7</v>
      </c>
      <c r="B11" s="209" t="s">
        <v>257</v>
      </c>
      <c r="C11" s="208"/>
      <c r="D11" s="201"/>
      <c r="E11" s="202"/>
      <c r="F11" s="202"/>
      <c r="G11" s="202"/>
      <c r="H11" s="203"/>
      <c r="I11" s="204"/>
      <c r="J11" s="200"/>
      <c r="K11" s="205"/>
      <c r="L11" s="206"/>
      <c r="M11" s="206"/>
      <c r="N11" s="206"/>
      <c r="O11" s="206"/>
      <c r="P11" s="206"/>
      <c r="Q11" s="206"/>
    </row>
    <row r="12" spans="1:17" s="194" customFormat="1">
      <c r="A12" s="207">
        <v>8</v>
      </c>
      <c r="B12" s="210" t="s">
        <v>258</v>
      </c>
      <c r="C12" s="208"/>
      <c r="D12" s="201"/>
      <c r="E12" s="202"/>
      <c r="F12" s="202"/>
      <c r="G12" s="202"/>
      <c r="H12" s="203"/>
      <c r="I12" s="204"/>
      <c r="J12" s="200"/>
      <c r="K12" s="205"/>
      <c r="L12" s="206"/>
      <c r="M12" s="206"/>
      <c r="N12" s="206"/>
      <c r="O12" s="206"/>
      <c r="P12" s="206"/>
      <c r="Q12" s="206"/>
    </row>
    <row r="13" spans="1:17" s="194" customFormat="1">
      <c r="A13" s="207">
        <v>9</v>
      </c>
      <c r="B13" s="199" t="s">
        <v>259</v>
      </c>
      <c r="C13" s="208"/>
      <c r="D13" s="201"/>
      <c r="E13" s="202"/>
      <c r="F13" s="202"/>
      <c r="G13" s="202"/>
      <c r="H13" s="203"/>
      <c r="I13" s="204"/>
      <c r="J13" s="200"/>
      <c r="K13" s="205"/>
      <c r="L13" s="206"/>
      <c r="M13" s="206"/>
      <c r="N13" s="206"/>
      <c r="O13" s="206"/>
      <c r="P13" s="206"/>
      <c r="Q13" s="206"/>
    </row>
    <row r="14" spans="1:17" s="194" customFormat="1">
      <c r="A14" s="207">
        <v>10</v>
      </c>
      <c r="B14" s="199" t="s">
        <v>260</v>
      </c>
      <c r="C14" s="208"/>
      <c r="D14" s="201"/>
      <c r="E14" s="202"/>
      <c r="F14" s="202"/>
      <c r="G14" s="202"/>
      <c r="H14" s="203"/>
      <c r="I14" s="204"/>
      <c r="J14" s="200"/>
      <c r="K14" s="205"/>
      <c r="L14" s="206"/>
      <c r="M14" s="206"/>
      <c r="N14" s="206"/>
      <c r="O14" s="206"/>
      <c r="P14" s="206"/>
      <c r="Q14" s="206"/>
    </row>
    <row r="15" spans="1:17" s="194" customFormat="1">
      <c r="A15" s="207">
        <v>11</v>
      </c>
      <c r="B15" s="199" t="s">
        <v>261</v>
      </c>
      <c r="C15" s="208"/>
      <c r="D15" s="201"/>
      <c r="E15" s="202"/>
      <c r="F15" s="202"/>
      <c r="G15" s="202"/>
      <c r="H15" s="203"/>
      <c r="I15" s="204"/>
      <c r="J15" s="200"/>
      <c r="K15" s="205"/>
      <c r="L15" s="206"/>
      <c r="M15" s="206"/>
      <c r="N15" s="206"/>
      <c r="O15" s="206"/>
      <c r="P15" s="206"/>
      <c r="Q15" s="206"/>
    </row>
    <row r="16" spans="1:17" s="194" customFormat="1">
      <c r="A16" s="207">
        <v>12</v>
      </c>
      <c r="B16" s="199" t="s">
        <v>262</v>
      </c>
      <c r="C16" s="208"/>
      <c r="D16" s="201"/>
      <c r="E16" s="202"/>
      <c r="F16" s="202"/>
      <c r="G16" s="202"/>
      <c r="H16" s="203"/>
      <c r="I16" s="204"/>
      <c r="J16" s="200"/>
      <c r="K16" s="205"/>
      <c r="L16" s="206"/>
      <c r="M16" s="206"/>
      <c r="N16" s="206"/>
      <c r="O16" s="206"/>
      <c r="P16" s="206"/>
      <c r="Q16" s="206"/>
    </row>
    <row r="17" spans="1:17" s="194" customFormat="1">
      <c r="A17" s="207">
        <v>13</v>
      </c>
      <c r="B17" s="199" t="s">
        <v>263</v>
      </c>
      <c r="C17" s="208"/>
      <c r="D17" s="201"/>
      <c r="E17" s="202"/>
      <c r="F17" s="202"/>
      <c r="G17" s="202"/>
      <c r="H17" s="203"/>
      <c r="I17" s="204"/>
      <c r="J17" s="200"/>
      <c r="K17" s="205"/>
      <c r="L17" s="206"/>
      <c r="M17" s="206"/>
      <c r="N17" s="206"/>
      <c r="O17" s="206"/>
      <c r="P17" s="206"/>
      <c r="Q17" s="206"/>
    </row>
    <row r="18" spans="1:17" s="194" customFormat="1">
      <c r="A18" s="207">
        <v>14</v>
      </c>
      <c r="B18" s="199" t="s">
        <v>264</v>
      </c>
      <c r="C18" s="208"/>
      <c r="D18" s="201"/>
      <c r="E18" s="202"/>
      <c r="F18" s="202"/>
      <c r="G18" s="202"/>
      <c r="H18" s="203"/>
      <c r="I18" s="204"/>
      <c r="J18" s="200"/>
      <c r="K18" s="205"/>
      <c r="L18" s="206"/>
      <c r="M18" s="206"/>
      <c r="N18" s="206"/>
      <c r="O18" s="206"/>
      <c r="P18" s="206"/>
      <c r="Q18" s="206"/>
    </row>
    <row r="19" spans="1:17" s="194" customFormat="1">
      <c r="A19" s="207">
        <v>15</v>
      </c>
      <c r="B19" s="199" t="s">
        <v>265</v>
      </c>
      <c r="C19" s="208"/>
      <c r="D19" s="201"/>
      <c r="E19" s="202"/>
      <c r="F19" s="202"/>
      <c r="G19" s="202"/>
      <c r="H19" s="203"/>
      <c r="I19" s="204"/>
      <c r="J19" s="200"/>
      <c r="K19" s="205"/>
      <c r="L19" s="206"/>
      <c r="M19" s="206"/>
      <c r="N19" s="206"/>
      <c r="O19" s="206"/>
      <c r="P19" s="206"/>
      <c r="Q19" s="206"/>
    </row>
    <row r="20" spans="1:17" s="194" customFormat="1">
      <c r="A20" s="207">
        <v>16</v>
      </c>
      <c r="B20" s="199" t="s">
        <v>266</v>
      </c>
      <c r="C20" s="208"/>
      <c r="D20" s="201"/>
      <c r="E20" s="202"/>
      <c r="F20" s="202"/>
      <c r="G20" s="202"/>
      <c r="H20" s="203"/>
      <c r="I20" s="204"/>
      <c r="J20" s="200"/>
      <c r="K20" s="205"/>
      <c r="L20" s="206"/>
      <c r="M20" s="206"/>
      <c r="N20" s="206"/>
      <c r="O20" s="206"/>
      <c r="P20" s="206"/>
      <c r="Q20" s="206"/>
    </row>
    <row r="21" spans="1:17" s="194" customFormat="1">
      <c r="A21" s="207">
        <v>17</v>
      </c>
      <c r="B21" s="199" t="s">
        <v>267</v>
      </c>
      <c r="C21" s="208"/>
      <c r="D21" s="201"/>
      <c r="E21" s="202"/>
      <c r="F21" s="202"/>
      <c r="G21" s="202"/>
      <c r="H21" s="203"/>
      <c r="I21" s="204"/>
      <c r="J21" s="200"/>
      <c r="K21" s="205"/>
      <c r="L21" s="206"/>
      <c r="M21" s="206"/>
      <c r="N21" s="206"/>
      <c r="O21" s="206"/>
      <c r="P21" s="206"/>
      <c r="Q21" s="206"/>
    </row>
    <row r="22" spans="1:17" s="194" customFormat="1">
      <c r="A22" s="207">
        <v>18</v>
      </c>
      <c r="B22" s="199" t="s">
        <v>268</v>
      </c>
      <c r="C22" s="208"/>
      <c r="D22" s="201"/>
      <c r="E22" s="202"/>
      <c r="F22" s="202"/>
      <c r="G22" s="202"/>
      <c r="H22" s="203"/>
      <c r="I22" s="204"/>
      <c r="J22" s="200"/>
      <c r="K22" s="205"/>
      <c r="L22" s="206"/>
      <c r="M22" s="206"/>
      <c r="N22" s="206"/>
      <c r="O22" s="206"/>
      <c r="P22" s="206"/>
      <c r="Q22" s="206"/>
    </row>
    <row r="23" spans="1:17" s="194" customFormat="1">
      <c r="A23" s="207">
        <v>19</v>
      </c>
      <c r="B23" s="199" t="s">
        <v>269</v>
      </c>
      <c r="C23" s="208"/>
      <c r="D23" s="201"/>
      <c r="E23" s="202"/>
      <c r="F23" s="202"/>
      <c r="G23" s="202"/>
      <c r="H23" s="203"/>
      <c r="I23" s="204"/>
      <c r="J23" s="200"/>
      <c r="K23" s="205"/>
      <c r="L23" s="206"/>
      <c r="M23" s="206"/>
      <c r="N23" s="206"/>
      <c r="O23" s="206"/>
      <c r="P23" s="206"/>
      <c r="Q23" s="206"/>
    </row>
    <row r="24" spans="1:17" s="194" customFormat="1">
      <c r="A24" s="207">
        <v>20</v>
      </c>
      <c r="B24" s="199" t="s">
        <v>270</v>
      </c>
      <c r="C24" s="208"/>
      <c r="D24" s="201"/>
      <c r="E24" s="202"/>
      <c r="F24" s="202"/>
      <c r="G24" s="202"/>
      <c r="H24" s="203"/>
      <c r="I24" s="204"/>
      <c r="J24" s="200"/>
      <c r="K24" s="205"/>
      <c r="L24" s="206"/>
      <c r="M24" s="206"/>
      <c r="N24" s="206"/>
      <c r="O24" s="206"/>
      <c r="P24" s="206"/>
      <c r="Q24" s="206"/>
    </row>
    <row r="25" spans="1:17" s="194" customFormat="1">
      <c r="A25" s="207">
        <v>21</v>
      </c>
      <c r="B25" s="199" t="s">
        <v>271</v>
      </c>
      <c r="C25" s="208"/>
      <c r="D25" s="201"/>
      <c r="E25" s="202"/>
      <c r="F25" s="202"/>
      <c r="G25" s="202"/>
      <c r="H25" s="203"/>
      <c r="I25" s="204"/>
      <c r="J25" s="200"/>
      <c r="K25" s="205"/>
      <c r="L25" s="206"/>
      <c r="M25" s="206"/>
      <c r="N25" s="206"/>
      <c r="O25" s="206"/>
      <c r="P25" s="206"/>
      <c r="Q25" s="206"/>
    </row>
    <row r="26" spans="1:17" s="219" customFormat="1" ht="15" customHeight="1" thickBot="1">
      <c r="A26" s="344" t="s">
        <v>5</v>
      </c>
      <c r="B26" s="345"/>
      <c r="C26" s="346"/>
      <c r="D26" s="261"/>
      <c r="E26" s="262"/>
      <c r="F26" s="262"/>
      <c r="G26" s="262"/>
      <c r="H26" s="263"/>
      <c r="I26" s="264"/>
      <c r="J26" s="265"/>
      <c r="K26" s="266"/>
      <c r="L26" s="267"/>
      <c r="M26" s="267"/>
      <c r="N26" s="267"/>
      <c r="O26" s="268"/>
      <c r="P26" s="268"/>
      <c r="Q26" s="268"/>
    </row>
  </sheetData>
  <mergeCells count="8">
    <mergeCell ref="A26:C26"/>
    <mergeCell ref="A3:A4"/>
    <mergeCell ref="B3:B4"/>
    <mergeCell ref="C3:C4"/>
    <mergeCell ref="D3:F3"/>
    <mergeCell ref="G3:J3"/>
    <mergeCell ref="K3:M3"/>
    <mergeCell ref="N3:Q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Pressupostos</vt:lpstr>
      <vt:lpstr>Impacto</vt:lpstr>
      <vt:lpstr>Projecção</vt:lpstr>
      <vt:lpstr>Custos de Produção</vt:lpstr>
      <vt:lpstr>VAB para Cálculo do PIB</vt:lpstr>
      <vt:lpstr>Agricultura</vt:lpstr>
      <vt:lpstr>Pesca</vt:lpstr>
      <vt:lpstr>Indústria Extractiva Mineira</vt:lpstr>
      <vt:lpstr>Indústria Transformadora</vt:lpstr>
      <vt:lpstr>Electricidade Gás e Água</vt:lpstr>
      <vt:lpstr>Construção</vt:lpstr>
      <vt:lpstr>Comércio Serviços de Reparação </vt:lpstr>
      <vt:lpstr>Turismo</vt:lpstr>
      <vt:lpstr>Transportes e Comunicação</vt:lpstr>
      <vt:lpstr>Educação</vt:lpstr>
      <vt:lpstr>Saúde e Acção Social</vt:lpstr>
      <vt:lpstr>Segurança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Julio Cesar J. Costa</dc:creator>
  <cp:lastModifiedBy>Rosario Betho</cp:lastModifiedBy>
  <dcterms:created xsi:type="dcterms:W3CDTF">2020-03-11T08:06:57Z</dcterms:created>
  <dcterms:modified xsi:type="dcterms:W3CDTF">2022-01-10T10:59:04Z</dcterms:modified>
</cp:coreProperties>
</file>